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Тарифи\Тепло\2025-2026  опал.період\"/>
    </mc:Choice>
  </mc:AlternateContent>
  <bookViews>
    <workbookView xWindow="0" yWindow="0" windowWidth="23040" windowHeight="9384"/>
  </bookViews>
  <sheets>
    <sheet name="тариф 25-26" sheetId="1" r:id="rId1"/>
    <sheet name="порівняння" sheetId="2" r:id="rId2"/>
  </sheets>
  <definedNames>
    <definedName name="Excel_BuiltIn_Print_Area_2" localSheetId="1">#REF!</definedName>
    <definedName name="Excel_BuiltIn_Print_Area_2" localSheetId="0">#REF!</definedName>
    <definedName name="Excel_BuiltIn_Print_Area_2">#REF!</definedName>
    <definedName name="Excel_BuiltIn_Print_Area_4" localSheetId="1">#REF!</definedName>
    <definedName name="Excel_BuiltIn_Print_Area_4" localSheetId="0">#REF!</definedName>
    <definedName name="Excel_BuiltIn_Print_Area_4">#REF!</definedName>
    <definedName name="Excel_BuiltIn_Print_Titles_2" localSheetId="1">#REF!</definedName>
    <definedName name="Excel_BuiltIn_Print_Titles_2" localSheetId="0">#REF!</definedName>
    <definedName name="Excel_BuiltIn_Print_Titles_2">#REF!</definedName>
    <definedName name="Excel_BuiltIn_Print_Titles_2_1" localSheetId="1">#REF!</definedName>
    <definedName name="Excel_BuiltIn_Print_Titles_2_1" localSheetId="0">#REF!</definedName>
    <definedName name="Excel_BuiltIn_Print_Titles_2_1">#REF!</definedName>
    <definedName name="Excel_BuiltIn_Print_Titles_4" localSheetId="1">#REF!</definedName>
    <definedName name="Excel_BuiltIn_Print_Titles_4" localSheetId="0">#REF!</definedName>
    <definedName name="Excel_BuiltIn_Print_Titles_4">#REF!</definedName>
    <definedName name="_xlnm.Print_Area" localSheetId="1">порівняння!$A$1:$L$88</definedName>
    <definedName name="_xlnm.Print_Area" localSheetId="0">'тариф 25-26'!$A$1:$G$99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E84" i="1"/>
  <c r="D84" i="1"/>
  <c r="I4" i="2" l="1"/>
  <c r="F80" i="1"/>
  <c r="F79" i="1"/>
  <c r="F78" i="1"/>
  <c r="D78" i="1"/>
  <c r="D64" i="1" l="1"/>
  <c r="D67" i="1" s="1"/>
  <c r="F58" i="1" l="1"/>
  <c r="E58" i="1"/>
  <c r="I41" i="2" l="1"/>
  <c r="J37" i="2"/>
  <c r="K37" i="2"/>
  <c r="G85" i="2"/>
  <c r="G84" i="2"/>
  <c r="G83" i="2"/>
  <c r="E71" i="2"/>
  <c r="D70" i="2"/>
  <c r="F69" i="2"/>
  <c r="D69" i="2"/>
  <c r="K68" i="2"/>
  <c r="K71" i="2" s="1"/>
  <c r="F68" i="2"/>
  <c r="E68" i="2"/>
  <c r="D68" i="2"/>
  <c r="D71" i="2" s="1"/>
  <c r="K67" i="2"/>
  <c r="K70" i="2" s="1"/>
  <c r="F67" i="2"/>
  <c r="E67" i="2"/>
  <c r="D67" i="2"/>
  <c r="K66" i="2"/>
  <c r="K69" i="2" s="1"/>
  <c r="F66" i="2"/>
  <c r="E66" i="2"/>
  <c r="E69" i="2" s="1"/>
  <c r="D66" i="2"/>
  <c r="F63" i="2"/>
  <c r="F71" i="2" s="1"/>
  <c r="E63" i="2"/>
  <c r="E62" i="2"/>
  <c r="E70" i="2" s="1"/>
  <c r="F61" i="2"/>
  <c r="E61" i="2"/>
  <c r="K60" i="2"/>
  <c r="I60" i="2"/>
  <c r="E60" i="2"/>
  <c r="F60" i="2" s="1"/>
  <c r="D60" i="2"/>
  <c r="K41" i="2"/>
  <c r="K34" i="2"/>
  <c r="I34" i="2"/>
  <c r="K27" i="2"/>
  <c r="I27" i="2"/>
  <c r="G23" i="2"/>
  <c r="G4" i="2" s="1"/>
  <c r="F23" i="2"/>
  <c r="F4" i="2" s="1"/>
  <c r="E23" i="2"/>
  <c r="D23" i="2"/>
  <c r="H22" i="2"/>
  <c r="H21" i="2"/>
  <c r="H20" i="2"/>
  <c r="H19" i="2"/>
  <c r="H18" i="2"/>
  <c r="K14" i="2"/>
  <c r="E14" i="2"/>
  <c r="H14" i="2" s="1"/>
  <c r="K10" i="2"/>
  <c r="H10" i="2"/>
  <c r="D10" i="2"/>
  <c r="K6" i="2"/>
  <c r="D6" i="2"/>
  <c r="H6" i="2" s="1"/>
  <c r="K5" i="2"/>
  <c r="I5" i="2"/>
  <c r="K4" i="2"/>
  <c r="K59" i="2" s="1"/>
  <c r="K64" i="2" s="1"/>
  <c r="K65" i="2" s="1"/>
  <c r="I37" i="2" l="1"/>
  <c r="I59" i="2" s="1"/>
  <c r="K72" i="2"/>
  <c r="K73" i="2"/>
  <c r="K74" i="2"/>
  <c r="H71" i="2"/>
  <c r="H23" i="2"/>
  <c r="D5" i="2"/>
  <c r="E5" i="2"/>
  <c r="E4" i="2" s="1"/>
  <c r="F62" i="2"/>
  <c r="F70" i="2" s="1"/>
  <c r="H69" i="2"/>
  <c r="H67" i="2"/>
  <c r="H66" i="2"/>
  <c r="H70" i="2" l="1"/>
  <c r="K77" i="2"/>
  <c r="K84" i="2"/>
  <c r="K87" i="2" s="1"/>
  <c r="K76" i="2"/>
  <c r="K78" i="2"/>
  <c r="K85" i="2"/>
  <c r="K88" i="2"/>
  <c r="H5" i="2"/>
  <c r="D4" i="2"/>
  <c r="H4" i="2" l="1"/>
  <c r="D25" i="2"/>
  <c r="K83" i="2"/>
  <c r="K86" i="2" s="1"/>
  <c r="D31" i="2" l="1"/>
  <c r="D32" i="2"/>
  <c r="D28" i="2"/>
  <c r="D39" i="2"/>
  <c r="D35" i="2"/>
  <c r="D34" i="2" s="1"/>
  <c r="D30" i="2"/>
  <c r="G25" i="2"/>
  <c r="F25" i="2"/>
  <c r="E25" i="2"/>
  <c r="D55" i="2" l="1"/>
  <c r="D52" i="2"/>
  <c r="D49" i="2"/>
  <c r="D44" i="2"/>
  <c r="D56" i="2"/>
  <c r="D53" i="2"/>
  <c r="D50" i="2"/>
  <c r="D45" i="2"/>
  <c r="D57" i="2"/>
  <c r="D54" i="2"/>
  <c r="D51" i="2"/>
  <c r="D42" i="2"/>
  <c r="D46" i="2"/>
  <c r="G32" i="2"/>
  <c r="G28" i="2"/>
  <c r="G35" i="2"/>
  <c r="G34" i="2" s="1"/>
  <c r="G39" i="2"/>
  <c r="G30" i="2"/>
  <c r="G31" i="2"/>
  <c r="E31" i="2"/>
  <c r="E32" i="2"/>
  <c r="E28" i="2"/>
  <c r="E35" i="2"/>
  <c r="E34" i="2" s="1"/>
  <c r="H34" i="2" s="1"/>
  <c r="E39" i="2"/>
  <c r="E30" i="2"/>
  <c r="F32" i="2"/>
  <c r="F28" i="2"/>
  <c r="F35" i="2"/>
  <c r="F34" i="2" s="1"/>
  <c r="F39" i="2"/>
  <c r="F30" i="2"/>
  <c r="F31" i="2"/>
  <c r="K25" i="2"/>
  <c r="D29" i="2"/>
  <c r="D27" i="2"/>
  <c r="H25" i="2"/>
  <c r="G56" i="2" l="1"/>
  <c r="G53" i="2"/>
  <c r="G50" i="2"/>
  <c r="G45" i="2"/>
  <c r="G42" i="2"/>
  <c r="G57" i="2"/>
  <c r="G54" i="2"/>
  <c r="G51" i="2"/>
  <c r="G46" i="2"/>
  <c r="G55" i="2"/>
  <c r="G52" i="2"/>
  <c r="G49" i="2"/>
  <c r="G44" i="2"/>
  <c r="D37" i="2"/>
  <c r="F29" i="2"/>
  <c r="F27" i="2"/>
  <c r="H39" i="2"/>
  <c r="K39" i="2" s="1"/>
  <c r="G29" i="2"/>
  <c r="G27" i="2"/>
  <c r="E29" i="2"/>
  <c r="H29" i="2" s="1"/>
  <c r="H27" i="2" s="1"/>
  <c r="E27" i="2"/>
  <c r="F44" i="2"/>
  <c r="F56" i="2"/>
  <c r="F53" i="2"/>
  <c r="F50" i="2"/>
  <c r="F45" i="2"/>
  <c r="F42" i="2"/>
  <c r="F57" i="2"/>
  <c r="F54" i="2"/>
  <c r="F51" i="2"/>
  <c r="F46" i="2"/>
  <c r="F49" i="2"/>
  <c r="F55" i="2"/>
  <c r="F52" i="2"/>
  <c r="E55" i="2"/>
  <c r="E52" i="2"/>
  <c r="E49" i="2"/>
  <c r="E44" i="2"/>
  <c r="E56" i="2"/>
  <c r="E53" i="2"/>
  <c r="E50" i="2"/>
  <c r="E45" i="2"/>
  <c r="E42" i="2"/>
  <c r="E57" i="2"/>
  <c r="E54" i="2"/>
  <c r="E51" i="2"/>
  <c r="E46" i="2"/>
  <c r="D43" i="2"/>
  <c r="D41" i="2"/>
  <c r="D59" i="2" s="1"/>
  <c r="D79" i="2" l="1"/>
  <c r="D75" i="2"/>
  <c r="D64" i="2"/>
  <c r="H37" i="2"/>
  <c r="F41" i="2"/>
  <c r="F59" i="2" s="1"/>
  <c r="F43" i="2"/>
  <c r="G43" i="2"/>
  <c r="G41" i="2" s="1"/>
  <c r="G59" i="2" s="1"/>
  <c r="G86" i="2" s="1"/>
  <c r="E37" i="2"/>
  <c r="E43" i="2"/>
  <c r="E41" i="2" s="1"/>
  <c r="E59" i="2" s="1"/>
  <c r="F37" i="2"/>
  <c r="G37" i="2"/>
  <c r="E75" i="2" l="1"/>
  <c r="E64" i="2"/>
  <c r="E65" i="2" s="1"/>
  <c r="E79" i="2"/>
  <c r="F75" i="2"/>
  <c r="H75" i="2" s="1"/>
  <c r="F64" i="2"/>
  <c r="F65" i="2" s="1"/>
  <c r="F79" i="2"/>
  <c r="H79" i="2" s="1"/>
  <c r="H43" i="2"/>
  <c r="H41" i="2" s="1"/>
  <c r="H59" i="2" s="1"/>
  <c r="D65" i="2"/>
  <c r="H65" i="2" l="1"/>
  <c r="D73" i="2"/>
  <c r="D72" i="2"/>
  <c r="D74" i="2"/>
  <c r="F72" i="2"/>
  <c r="F74" i="2"/>
  <c r="F73" i="2"/>
  <c r="E74" i="2"/>
  <c r="E72" i="2"/>
  <c r="E73" i="2"/>
  <c r="H64" i="2"/>
  <c r="E80" i="2" l="1"/>
  <c r="E76" i="2"/>
  <c r="E84" i="2"/>
  <c r="E87" i="2" s="1"/>
  <c r="E81" i="2"/>
  <c r="E77" i="2"/>
  <c r="H73" i="2"/>
  <c r="D81" i="2"/>
  <c r="H81" i="2" s="1"/>
  <c r="D77" i="2"/>
  <c r="F78" i="2"/>
  <c r="F82" i="2"/>
  <c r="F80" i="2"/>
  <c r="F76" i="2"/>
  <c r="F83" i="2" s="1"/>
  <c r="F86" i="2" s="1"/>
  <c r="D82" i="2"/>
  <c r="D85" i="2"/>
  <c r="D88" i="2"/>
  <c r="H74" i="2"/>
  <c r="D78" i="2"/>
  <c r="H72" i="2"/>
  <c r="D80" i="2"/>
  <c r="H80" i="2" s="1"/>
  <c r="D76" i="2"/>
  <c r="E78" i="2"/>
  <c r="E85" i="2" s="1"/>
  <c r="E82" i="2"/>
  <c r="F77" i="2"/>
  <c r="F84" i="2" s="1"/>
  <c r="F87" i="2" s="1"/>
  <c r="F81" i="2"/>
  <c r="H82" i="2" l="1"/>
  <c r="D83" i="2"/>
  <c r="D86" i="2" s="1"/>
  <c r="E88" i="2"/>
  <c r="F85" i="2"/>
  <c r="F88" i="2" s="1"/>
  <c r="E83" i="2"/>
  <c r="E86" i="2" s="1"/>
  <c r="D84" i="2"/>
  <c r="H84" i="2" s="1"/>
  <c r="H78" i="2"/>
  <c r="H76" i="2"/>
  <c r="H77" i="2"/>
  <c r="H85" i="2" l="1"/>
  <c r="H88" i="2"/>
  <c r="D87" i="2"/>
  <c r="H87" i="2" s="1"/>
  <c r="H86" i="2"/>
  <c r="H83" i="2"/>
  <c r="F66" i="1" l="1"/>
  <c r="E66" i="1"/>
  <c r="D66" i="1"/>
  <c r="D69" i="1" s="1"/>
  <c r="F65" i="1"/>
  <c r="E65" i="1"/>
  <c r="D65" i="1"/>
  <c r="D68" i="1" s="1"/>
  <c r="F64" i="1"/>
  <c r="E64" i="1"/>
  <c r="D58" i="1"/>
  <c r="G39" i="1"/>
  <c r="G24" i="1"/>
  <c r="F23" i="1"/>
  <c r="F4" i="1" s="1"/>
  <c r="E23" i="1"/>
  <c r="D23" i="1"/>
  <c r="G22" i="1"/>
  <c r="G21" i="1"/>
  <c r="G20" i="1"/>
  <c r="G19" i="1"/>
  <c r="G18" i="1"/>
  <c r="G17" i="1"/>
  <c r="G16" i="1"/>
  <c r="G15" i="1"/>
  <c r="E14" i="1"/>
  <c r="G14" i="1" s="1"/>
  <c r="G13" i="1"/>
  <c r="G12" i="1"/>
  <c r="G11" i="1"/>
  <c r="D10" i="1"/>
  <c r="G10" i="1" s="1"/>
  <c r="G9" i="1"/>
  <c r="G8" i="1"/>
  <c r="G7" i="1"/>
  <c r="D6" i="1"/>
  <c r="E5" i="1" l="1"/>
  <c r="E4" i="1" s="1"/>
  <c r="F69" i="1"/>
  <c r="E68" i="1"/>
  <c r="F68" i="1"/>
  <c r="E67" i="1"/>
  <c r="F67" i="1"/>
  <c r="G64" i="1"/>
  <c r="D5" i="1"/>
  <c r="D4" i="1" s="1"/>
  <c r="G66" i="1"/>
  <c r="G23" i="1"/>
  <c r="G68" i="1"/>
  <c r="G65" i="1"/>
  <c r="G6" i="1"/>
  <c r="E69" i="1"/>
  <c r="G5" i="1" l="1"/>
  <c r="G69" i="1"/>
  <c r="G4" i="1"/>
  <c r="D26" i="1" s="1"/>
  <c r="D31" i="1" s="1"/>
  <c r="G67" i="1"/>
  <c r="D33" i="1" l="1"/>
  <c r="D29" i="1"/>
  <c r="D30" i="1" s="1"/>
  <c r="D32" i="1"/>
  <c r="E26" i="1"/>
  <c r="F26" i="1"/>
  <c r="D28" i="1" l="1"/>
  <c r="F32" i="1"/>
  <c r="F31" i="1"/>
  <c r="F29" i="1"/>
  <c r="F33" i="1"/>
  <c r="G26" i="1"/>
  <c r="E29" i="1"/>
  <c r="E30" i="1" s="1"/>
  <c r="F30" i="1" s="1"/>
  <c r="E33" i="1"/>
  <c r="E32" i="1"/>
  <c r="E31" i="1"/>
  <c r="F28" i="1" l="1"/>
  <c r="E28" i="1"/>
  <c r="D35" i="1"/>
  <c r="G28" i="1" l="1"/>
  <c r="G35" i="1" s="1"/>
  <c r="D37" i="1" s="1"/>
  <c r="E35" i="1"/>
  <c r="F35" i="1"/>
  <c r="E37" i="1" l="1"/>
  <c r="E44" i="1" s="1"/>
  <c r="G57" i="1"/>
  <c r="D54" i="1"/>
  <c r="D50" i="1"/>
  <c r="D44" i="1"/>
  <c r="D49" i="1"/>
  <c r="D52" i="1"/>
  <c r="D48" i="1"/>
  <c r="D46" i="1"/>
  <c r="D42" i="1"/>
  <c r="D55" i="1"/>
  <c r="D51" i="1"/>
  <c r="D45" i="1"/>
  <c r="D40" i="1"/>
  <c r="D53" i="1"/>
  <c r="D47" i="1"/>
  <c r="D43" i="1"/>
  <c r="F37" i="1"/>
  <c r="E48" i="1" l="1"/>
  <c r="E51" i="1"/>
  <c r="E46" i="1"/>
  <c r="E43" i="1"/>
  <c r="E40" i="1"/>
  <c r="E41" i="1" s="1"/>
  <c r="E47" i="1"/>
  <c r="E42" i="1"/>
  <c r="E54" i="1"/>
  <c r="E53" i="1"/>
  <c r="E55" i="1"/>
  <c r="E50" i="1"/>
  <c r="E45" i="1"/>
  <c r="E52" i="1"/>
  <c r="E49" i="1"/>
  <c r="D41" i="1"/>
  <c r="F54" i="1"/>
  <c r="F52" i="1"/>
  <c r="F50" i="1"/>
  <c r="F48" i="1"/>
  <c r="F46" i="1"/>
  <c r="F44" i="1"/>
  <c r="F42" i="1"/>
  <c r="F40" i="1"/>
  <c r="F55" i="1"/>
  <c r="F53" i="1"/>
  <c r="F51" i="1"/>
  <c r="F49" i="1"/>
  <c r="F47" i="1"/>
  <c r="F45" i="1"/>
  <c r="F43" i="1"/>
  <c r="G37" i="1"/>
  <c r="D39" i="1" l="1"/>
  <c r="D57" i="1" s="1"/>
  <c r="D62" i="1" s="1"/>
  <c r="D63" i="1" s="1"/>
  <c r="D70" i="1" s="1"/>
  <c r="F41" i="1"/>
  <c r="F39" i="1" s="1"/>
  <c r="F57" i="1" s="1"/>
  <c r="E39" i="1"/>
  <c r="E57" i="1" s="1"/>
  <c r="E77" i="1" s="1"/>
  <c r="D73" i="1" l="1"/>
  <c r="D77" i="1"/>
  <c r="E73" i="1"/>
  <c r="E62" i="1"/>
  <c r="E63" i="1" s="1"/>
  <c r="E71" i="1" s="1"/>
  <c r="F77" i="1"/>
  <c r="F73" i="1"/>
  <c r="F62" i="1"/>
  <c r="F63" i="1" s="1"/>
  <c r="G77" i="1" l="1"/>
  <c r="G73" i="1"/>
  <c r="E72" i="1"/>
  <c r="E76" i="1" s="1"/>
  <c r="E70" i="1"/>
  <c r="E78" i="1" s="1"/>
  <c r="G62" i="1"/>
  <c r="F72" i="1"/>
  <c r="F71" i="1"/>
  <c r="F70" i="1"/>
  <c r="E75" i="1"/>
  <c r="E79" i="1"/>
  <c r="G63" i="1"/>
  <c r="D72" i="1"/>
  <c r="D71" i="1"/>
  <c r="E80" i="1" l="1"/>
  <c r="E83" i="1" s="1"/>
  <c r="E86" i="1" s="1"/>
  <c r="E74" i="1"/>
  <c r="E81" i="1" s="1"/>
  <c r="E82" i="1"/>
  <c r="E85" i="1" s="1"/>
  <c r="G70" i="1"/>
  <c r="D74" i="1"/>
  <c r="D81" i="1" s="1"/>
  <c r="G78" i="1"/>
  <c r="G72" i="1"/>
  <c r="D80" i="1"/>
  <c r="D76" i="1"/>
  <c r="F74" i="1"/>
  <c r="F75" i="1"/>
  <c r="D79" i="1"/>
  <c r="D75" i="1"/>
  <c r="G71" i="1"/>
  <c r="F76" i="1"/>
  <c r="F83" i="1" s="1"/>
  <c r="G76" i="1" l="1"/>
  <c r="G75" i="1"/>
  <c r="G80" i="1"/>
  <c r="F86" i="1"/>
  <c r="F81" i="1"/>
  <c r="F82" i="1"/>
  <c r="F85" i="1" s="1"/>
  <c r="G79" i="1"/>
  <c r="G74" i="1"/>
  <c r="D82" i="1"/>
  <c r="D85" i="1" s="1"/>
  <c r="D83" i="1"/>
  <c r="G83" i="1" s="1"/>
  <c r="G81" i="1" l="1"/>
  <c r="D86" i="1"/>
  <c r="G86" i="1" s="1"/>
  <c r="G84" i="1"/>
  <c r="G85" i="1"/>
  <c r="G82" i="1"/>
</calcChain>
</file>

<file path=xl/comments1.xml><?xml version="1.0" encoding="utf-8"?>
<comments xmlns="http://schemas.openxmlformats.org/spreadsheetml/2006/main">
  <authors>
    <author>User</author>
    <author>USER</author>
  </authors>
  <commentList>
    <comment ref="G6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кількість особових рахунків на 1.08.21
</t>
        </r>
      </text>
    </comment>
    <comment ref="G86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 особовийв місяць</t>
        </r>
      </text>
    </comment>
  </commentList>
</comments>
</file>

<file path=xl/sharedStrings.xml><?xml version="1.0" encoding="utf-8"?>
<sst xmlns="http://schemas.openxmlformats.org/spreadsheetml/2006/main" count="339" uniqueCount="126">
  <si>
    <t>№           з/п</t>
  </si>
  <si>
    <t>Найменування витрат</t>
  </si>
  <si>
    <t>Од.вим.</t>
  </si>
  <si>
    <t>Виробництво</t>
  </si>
  <si>
    <t xml:space="preserve">Транспорту-   вання </t>
  </si>
  <si>
    <t xml:space="preserve">Постачання </t>
  </si>
  <si>
    <t xml:space="preserve">Всього теплопостачання </t>
  </si>
  <si>
    <t xml:space="preserve">Прямі </t>
  </si>
  <si>
    <t>грн</t>
  </si>
  <si>
    <t>1.1.</t>
  </si>
  <si>
    <t>Паливо (газ)</t>
  </si>
  <si>
    <t>Природній газ</t>
  </si>
  <si>
    <t xml:space="preserve">* населення </t>
  </si>
  <si>
    <t>* бюджет</t>
  </si>
  <si>
    <t xml:space="preserve">* інші споживачі </t>
  </si>
  <si>
    <t>Розподіл  природного газу</t>
  </si>
  <si>
    <t>Транспортування природного газу</t>
  </si>
  <si>
    <t>1.2.</t>
  </si>
  <si>
    <t>Електроенергія</t>
  </si>
  <si>
    <t>1.3.</t>
  </si>
  <si>
    <t>Вода на технологію</t>
  </si>
  <si>
    <t>1.4.</t>
  </si>
  <si>
    <t xml:space="preserve">Матеріальні витрати </t>
  </si>
  <si>
    <t>Послуги сторонніх організацій</t>
  </si>
  <si>
    <t>1.6.</t>
  </si>
  <si>
    <t>Фонд оплати праці</t>
  </si>
  <si>
    <t>1.7.</t>
  </si>
  <si>
    <t>Нарахування 22%</t>
  </si>
  <si>
    <t>1.8.</t>
  </si>
  <si>
    <t>Податки та збори</t>
  </si>
  <si>
    <t xml:space="preserve">Розподіл пропорційно сумі прямих витрат </t>
  </si>
  <si>
    <t xml:space="preserve">Загальновиробничі витрати </t>
  </si>
  <si>
    <t>витрати на оплату праці</t>
  </si>
  <si>
    <t>відрахування на загальнообов"язкове державне соціальне страхування</t>
  </si>
  <si>
    <t>витрати на утримання, експлуатацію, ремонт основних засобів загальновиробничого призначення та необоротних активів, МШП</t>
  </si>
  <si>
    <t xml:space="preserve">витрати на послуги сторонніх організацій </t>
  </si>
  <si>
    <t xml:space="preserve"> витрати на централізоване опалення, водопостачання, водовідведення, освітлення приміщень </t>
  </si>
  <si>
    <t xml:space="preserve">Виробнича собівартість </t>
  </si>
  <si>
    <t xml:space="preserve">Розподіл пропорційно сумі виробничій собівартості </t>
  </si>
  <si>
    <t xml:space="preserve">Адміністративні витрати </t>
  </si>
  <si>
    <t>витрати на оплату праці апарату управління підприємством</t>
  </si>
  <si>
    <t xml:space="preserve"> відрахування на загальнообов"язкове державне соціальне страхування апарату управління підприємством</t>
  </si>
  <si>
    <t>підготовка, перепідготовка кадрів</t>
  </si>
  <si>
    <t>використання МШП</t>
  </si>
  <si>
    <t xml:space="preserve">службові відрядження </t>
  </si>
  <si>
    <t xml:space="preserve">періодичні видання </t>
  </si>
  <si>
    <t xml:space="preserve">амортизація основних засобів, інших необоротних матеріальних і не матеріальних активів загальногосподарського використання </t>
  </si>
  <si>
    <t>матеріальні витрати на утримання основних засобів</t>
  </si>
  <si>
    <t>централізоване опалення</t>
  </si>
  <si>
    <t>водопостачання, водовідведення</t>
  </si>
  <si>
    <t>освітлення</t>
  </si>
  <si>
    <t xml:space="preserve">витрати на оплату професійних послуг </t>
  </si>
  <si>
    <t xml:space="preserve">витрати на оплату послуг зв"язку </t>
  </si>
  <si>
    <t xml:space="preserve"> витрати на оплату розрахунково-касового обслуговування та інших послуг банку</t>
  </si>
  <si>
    <t xml:space="preserve"> витрати на оплату послуг  сторонніх організацій</t>
  </si>
  <si>
    <t xml:space="preserve"> витрати на розвязання спорів у судах</t>
  </si>
  <si>
    <t>Всього витрат</t>
  </si>
  <si>
    <t>Реалізовано теплової енергії</t>
  </si>
  <si>
    <t>Гкал</t>
  </si>
  <si>
    <t>населенню</t>
  </si>
  <si>
    <t>бюджет</t>
  </si>
  <si>
    <t>інші</t>
  </si>
  <si>
    <t>Собівартість без вартості газу</t>
  </si>
  <si>
    <t>грн/Гкал</t>
  </si>
  <si>
    <t xml:space="preserve">Вартість газу з транспортуванням та  розподілом для населення </t>
  </si>
  <si>
    <t xml:space="preserve">Вартість газу з транспортуванням та  розподілом для бюджету </t>
  </si>
  <si>
    <t>Вартість газу з транспортуванням та  розподілом для  іншіх споживачів</t>
  </si>
  <si>
    <t>грн /Гкал</t>
  </si>
  <si>
    <t>Вартість газу з транспортуванням та  розподілом для для бюджетних   організацій</t>
  </si>
  <si>
    <t>Вартість газу з транспортуванням та  розподілом для  інших споживачів</t>
  </si>
  <si>
    <t xml:space="preserve">Собівартість 1 Гкал теплової енергії   без  ПДВ для населення </t>
  </si>
  <si>
    <t>Собівартість 1 Гкал теплової енергії   без  ПДВ для для бюджетних   організацій</t>
  </si>
  <si>
    <t>Собівартість 1 Гкал теплової енергії   без  ПДВ для інших споживачів</t>
  </si>
  <si>
    <t xml:space="preserve">Рентабельність в тарифі для населення </t>
  </si>
  <si>
    <t xml:space="preserve">Рентабельність в тарифі для бюджету </t>
  </si>
  <si>
    <t>Рентабельність в тарифі для бюджету та інших споживачів</t>
  </si>
  <si>
    <t>Обігові кошти (4%)</t>
  </si>
  <si>
    <t>Обігові кошти (4%) для для бюджетних   організацій</t>
  </si>
  <si>
    <t>Обігові кошти (4%) для інших споживачів</t>
  </si>
  <si>
    <t>ПДВ для населення (20%)</t>
  </si>
  <si>
    <t>ПДВ для бюджетних   організацій (20%)</t>
  </si>
  <si>
    <t>ПДВ для  інших споживачів (20%)</t>
  </si>
  <si>
    <t xml:space="preserve">Тариф   з ПДВ  для населення </t>
  </si>
  <si>
    <t>Тариф   з ПДВ  для бюджетних організацій</t>
  </si>
  <si>
    <t>Тариф   з ПДВ   інших споживачів</t>
  </si>
  <si>
    <t>Начальник  КП "Долинський Міськкомунгосп" __________________ Є.Г.Чипула</t>
  </si>
  <si>
    <t xml:space="preserve">Обігові кошти (4%) для населення </t>
  </si>
  <si>
    <t>Гол.економіст ______________ Ширяєва Н.А.</t>
  </si>
  <si>
    <t>Абонплата</t>
  </si>
  <si>
    <t>Затверджений тариф для населення          1 647.51</t>
  </si>
  <si>
    <t>Примітки</t>
  </si>
  <si>
    <t xml:space="preserve">зменшення обсягів вироблених та реалізованих Гкал згідно річного плану </t>
  </si>
  <si>
    <t>визначено необхідність матеріалів згідно звіту начальника теплової дільниці</t>
  </si>
  <si>
    <t>по факту необхідності попереднього опалювального сезону</t>
  </si>
  <si>
    <t xml:space="preserve"> згідно  структури дільниці  для сталого проходження опалювального сезону</t>
  </si>
  <si>
    <t>пропорційно ФОП</t>
  </si>
  <si>
    <t>згідно розрахунку екологічного податку</t>
  </si>
  <si>
    <t xml:space="preserve"> змінено структуру підприємства </t>
  </si>
  <si>
    <t>витрати на утримання, експлуатацію, ремонт основних засобів загальновиробничого призначення</t>
  </si>
  <si>
    <t xml:space="preserve">на рівні фактичних витрат попереднього року </t>
  </si>
  <si>
    <t>3.</t>
  </si>
  <si>
    <t xml:space="preserve">Витрати на збут </t>
  </si>
  <si>
    <t xml:space="preserve"> витрати на оплату послуг банків та інших установ з приймання та перерахування коштів споживачів за спожиту теплову енергію</t>
  </si>
  <si>
    <t xml:space="preserve">Виробнича собівартість з витратами на збут </t>
  </si>
  <si>
    <t xml:space="preserve">Розподіл пропорційно сумі виробничій собівартості та витратам на збут </t>
  </si>
  <si>
    <t>витрати на утримання основних засобів:</t>
  </si>
  <si>
    <t>згідно 869 постанови середній обсяг за 5 минулих років</t>
  </si>
  <si>
    <t>Вартість газу з транспортуванням та  розподілом для бюджету</t>
  </si>
  <si>
    <t xml:space="preserve">Собівартість 1 Гкал теплової енергії   без  ПДВ для бюджету </t>
  </si>
  <si>
    <t xml:space="preserve">Рентабельність </t>
  </si>
  <si>
    <t xml:space="preserve">згідно   до Порядку формування тарифів на теплову енергію, її виробництво, транспортування та постачання, планований прибуток може включати обігові кошти у розмірі, що не перевищує 4 відсотків повної планової собівартості теплової енергії </t>
  </si>
  <si>
    <t xml:space="preserve">Обігові кошти (4%) для бюджету </t>
  </si>
  <si>
    <t>ПДВ для бюджету  (20%)</t>
  </si>
  <si>
    <t>Застосований у 2022-2023 тариф</t>
  </si>
  <si>
    <t xml:space="preserve">Тариф   з ПДВ  для бюджету </t>
  </si>
  <si>
    <t>Тариф   з ПДВ  для  інших споживачів</t>
  </si>
  <si>
    <t>Начальник  КП "Долинський Міськкомунгосп" __________________ О.В.Молодиченко</t>
  </si>
  <si>
    <t>зменшення обсягів споживання тепла, планові тарифи на газ залишаються незмінними з минулого опалювального сезону</t>
  </si>
  <si>
    <t>Розрахунок тарифу на теплову енергію , її виробництво, транспортування  та постачання  на опалювальний період 2025-2026 року</t>
  </si>
  <si>
    <t>грн/ Гкал</t>
  </si>
  <si>
    <t>Рентабельність ( %)</t>
  </si>
  <si>
    <t>Затверджений тариф на  2024-2025</t>
  </si>
  <si>
    <t>Плановий тариф на 2025-2026</t>
  </si>
  <si>
    <t>збільшення ціни на електроенергію з 4,26721  до 7,32304 грн/кВт</t>
  </si>
  <si>
    <t>на рівні фактичних витрат попереднього року з урахуванням можливої економії</t>
  </si>
  <si>
    <t>Порівняння тарифів опалювальних періодів 2024-2025 та 2025-2026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</si>
</sst>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9" fillId="0" borderId="0" xfId="0" applyFont="1"/>
    <xf numFmtId="0" fontId="7" fillId="0" borderId="5" xfId="0" applyFont="1" applyFill="1" applyBorder="1" applyAlignment="1">
      <alignment horizontal="left" vertical="center" wrapText="1"/>
    </xf>
    <xf numFmtId="164" fontId="7" fillId="0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0" fillId="0" borderId="0" xfId="0" applyBorder="1"/>
    <xf numFmtId="16" fontId="6" fillId="0" borderId="5" xfId="0" applyNumberFormat="1" applyFont="1" applyFill="1" applyBorder="1" applyAlignment="1">
      <alignment horizont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4" fontId="7" fillId="0" borderId="7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14" fillId="0" borderId="0" xfId="0" applyFont="1"/>
    <xf numFmtId="0" fontId="3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4" fontId="7" fillId="0" borderId="12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4" fontId="7" fillId="0" borderId="20" xfId="0" applyNumberFormat="1" applyFont="1" applyFill="1" applyBorder="1" applyAlignment="1">
      <alignment horizontal="center"/>
    </xf>
    <xf numFmtId="4" fontId="7" fillId="0" borderId="14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5" xfId="0" applyNumberFormat="1" applyFont="1" applyFill="1" applyBorder="1" applyAlignment="1">
      <alignment horizontal="center" vertical="center"/>
    </xf>
    <xf numFmtId="4" fontId="18" fillId="0" borderId="9" xfId="0" applyNumberFormat="1" applyFont="1" applyBorder="1" applyAlignment="1">
      <alignment horizontal="center"/>
    </xf>
    <xf numFmtId="4" fontId="18" fillId="0" borderId="0" xfId="0" applyNumberFormat="1" applyFont="1" applyAlignment="1">
      <alignment horizontal="center"/>
    </xf>
    <xf numFmtId="0" fontId="0" fillId="0" borderId="6" xfId="0" applyBorder="1"/>
    <xf numFmtId="4" fontId="17" fillId="0" borderId="5" xfId="0" applyNumberFormat="1" applyFont="1" applyFill="1" applyBorder="1" applyAlignment="1">
      <alignment horizontal="center" vertical="center"/>
    </xf>
    <xf numFmtId="4" fontId="17" fillId="0" borderId="16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24" xfId="0" applyBorder="1"/>
    <xf numFmtId="4" fontId="17" fillId="0" borderId="11" xfId="0" applyNumberFormat="1" applyFont="1" applyFill="1" applyBorder="1" applyAlignment="1">
      <alignment horizontal="center" vertical="center"/>
    </xf>
    <xf numFmtId="4" fontId="17" fillId="0" borderId="20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5" fillId="0" borderId="23" xfId="0" applyNumberFormat="1" applyFont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9" xfId="0" applyNumberFormat="1" applyFont="1" applyBorder="1" applyAlignment="1">
      <alignment horizontal="center" vertical="center" wrapText="1"/>
    </xf>
    <xf numFmtId="4" fontId="15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topLeftCell="A71" zoomScale="106" zoomScaleNormal="106" zoomScaleSheetLayoutView="100" workbookViewId="0">
      <selection activeCell="L85" sqref="L85"/>
    </sheetView>
  </sheetViews>
  <sheetFormatPr defaultRowHeight="13.2" x14ac:dyDescent="0.25"/>
  <cols>
    <col min="1" max="1" width="5.5546875" customWidth="1"/>
    <col min="2" max="2" width="39.6640625" customWidth="1"/>
    <col min="3" max="3" width="5.109375" customWidth="1"/>
    <col min="4" max="4" width="12.88671875" customWidth="1"/>
    <col min="5" max="5" width="12.6640625" customWidth="1"/>
    <col min="6" max="6" width="12" customWidth="1"/>
    <col min="7" max="7" width="14.33203125" customWidth="1"/>
  </cols>
  <sheetData>
    <row r="1" spans="1:7" ht="30" customHeight="1" x14ac:dyDescent="0.25">
      <c r="A1" s="162" t="s">
        <v>118</v>
      </c>
      <c r="B1" s="162"/>
      <c r="C1" s="162"/>
      <c r="D1" s="162"/>
      <c r="E1" s="162"/>
      <c r="F1" s="162"/>
      <c r="G1" s="162"/>
    </row>
    <row r="2" spans="1:7" ht="8.25" customHeight="1" thickBot="1" x14ac:dyDescent="0.3">
      <c r="A2" s="1"/>
      <c r="B2" s="2"/>
      <c r="C2" s="1"/>
      <c r="D2" s="1"/>
    </row>
    <row r="3" spans="1:7" ht="29.25" customHeight="1" thickBot="1" x14ac:dyDescent="0.3">
      <c r="A3" s="3" t="s">
        <v>0</v>
      </c>
      <c r="B3" s="4" t="s">
        <v>1</v>
      </c>
      <c r="C3" s="97" t="s">
        <v>2</v>
      </c>
      <c r="D3" s="4" t="s">
        <v>3</v>
      </c>
      <c r="E3" s="3" t="s">
        <v>4</v>
      </c>
      <c r="F3" s="3" t="s">
        <v>5</v>
      </c>
      <c r="G3" s="5" t="s">
        <v>6</v>
      </c>
    </row>
    <row r="4" spans="1:7" ht="13.8" x14ac:dyDescent="0.25">
      <c r="A4" s="6">
        <v>1</v>
      </c>
      <c r="B4" s="7" t="s">
        <v>7</v>
      </c>
      <c r="C4" s="8" t="s">
        <v>8</v>
      </c>
      <c r="D4" s="9">
        <f>D5+D18+D19+D20+D21+D22+D23+D24</f>
        <v>30003322.120000001</v>
      </c>
      <c r="E4" s="9">
        <f t="shared" ref="E4:F4" si="0">E5+E18+E19+E20+E21+E22+E23+E24</f>
        <v>1751504.32</v>
      </c>
      <c r="F4" s="9">
        <f t="shared" si="0"/>
        <v>2111457.66</v>
      </c>
      <c r="G4" s="9">
        <f>SUM(D4:F4)</f>
        <v>33866284.100000001</v>
      </c>
    </row>
    <row r="5" spans="1:7" ht="13.8" x14ac:dyDescent="0.3">
      <c r="A5" s="10" t="s">
        <v>9</v>
      </c>
      <c r="B5" s="11" t="s">
        <v>10</v>
      </c>
      <c r="C5" s="12" t="s">
        <v>8</v>
      </c>
      <c r="D5" s="13">
        <f>D6+D10+D14</f>
        <v>21068940</v>
      </c>
      <c r="E5" s="13">
        <f>SUM(E6:E14)</f>
        <v>1255390</v>
      </c>
      <c r="F5" s="13">
        <v>0</v>
      </c>
      <c r="G5" s="13">
        <f>SUM(D5:F5)</f>
        <v>22324330</v>
      </c>
    </row>
    <row r="6" spans="1:7" ht="13.8" x14ac:dyDescent="0.3">
      <c r="A6" s="10"/>
      <c r="B6" s="14" t="s">
        <v>11</v>
      </c>
      <c r="C6" s="15" t="s">
        <v>8</v>
      </c>
      <c r="D6" s="16">
        <f>SUM(D7:D9)</f>
        <v>17681339</v>
      </c>
      <c r="E6" s="16"/>
      <c r="F6" s="16"/>
      <c r="G6" s="16">
        <f>SUM(D6:F6)</f>
        <v>17681339</v>
      </c>
    </row>
    <row r="7" spans="1:7" ht="13.8" x14ac:dyDescent="0.3">
      <c r="A7" s="10"/>
      <c r="B7" s="17" t="s">
        <v>12</v>
      </c>
      <c r="C7" s="15"/>
      <c r="D7" s="18">
        <v>11061061</v>
      </c>
      <c r="E7" s="16"/>
      <c r="F7" s="16"/>
      <c r="G7" s="16">
        <f t="shared" ref="G7:G9" si="1">SUM(D7:F7)</f>
        <v>11061061</v>
      </c>
    </row>
    <row r="8" spans="1:7" ht="13.8" x14ac:dyDescent="0.3">
      <c r="A8" s="10"/>
      <c r="B8" s="17" t="s">
        <v>13</v>
      </c>
      <c r="C8" s="15"/>
      <c r="D8" s="18">
        <v>5991371</v>
      </c>
      <c r="E8" s="16"/>
      <c r="F8" s="16"/>
      <c r="G8" s="16">
        <f t="shared" si="1"/>
        <v>5991371</v>
      </c>
    </row>
    <row r="9" spans="1:7" ht="13.8" x14ac:dyDescent="0.3">
      <c r="A9" s="10"/>
      <c r="B9" s="17" t="s">
        <v>14</v>
      </c>
      <c r="C9" s="15"/>
      <c r="D9" s="18">
        <v>628907</v>
      </c>
      <c r="E9" s="16"/>
      <c r="F9" s="16"/>
      <c r="G9" s="16">
        <f t="shared" si="1"/>
        <v>628907</v>
      </c>
    </row>
    <row r="10" spans="1:7" x14ac:dyDescent="0.25">
      <c r="A10" s="19"/>
      <c r="B10" s="14" t="s">
        <v>15</v>
      </c>
      <c r="C10" s="15" t="s">
        <v>8</v>
      </c>
      <c r="D10" s="16">
        <f>SUM(D11:D13)</f>
        <v>3387601</v>
      </c>
      <c r="E10" s="16"/>
      <c r="F10" s="16"/>
      <c r="G10" s="16">
        <f>SUM(D10:F10)</f>
        <v>3387601</v>
      </c>
    </row>
    <row r="11" spans="1:7" x14ac:dyDescent="0.25">
      <c r="A11" s="19"/>
      <c r="B11" s="17" t="s">
        <v>12</v>
      </c>
      <c r="C11" s="15"/>
      <c r="D11" s="18">
        <v>2665389</v>
      </c>
      <c r="E11" s="16"/>
      <c r="F11" s="16"/>
      <c r="G11" s="16">
        <f t="shared" ref="G11:G13" si="2">SUM(D11:F11)</f>
        <v>2665389</v>
      </c>
    </row>
    <row r="12" spans="1:7" x14ac:dyDescent="0.25">
      <c r="A12" s="19"/>
      <c r="B12" s="17" t="s">
        <v>13</v>
      </c>
      <c r="C12" s="15"/>
      <c r="D12" s="18">
        <v>653604</v>
      </c>
      <c r="E12" s="16"/>
      <c r="F12" s="16"/>
      <c r="G12" s="16">
        <f t="shared" si="2"/>
        <v>653604</v>
      </c>
    </row>
    <row r="13" spans="1:7" x14ac:dyDescent="0.25">
      <c r="A13" s="19"/>
      <c r="B13" s="17" t="s">
        <v>14</v>
      </c>
      <c r="C13" s="15"/>
      <c r="D13" s="18">
        <v>68608</v>
      </c>
      <c r="E13" s="16"/>
      <c r="F13" s="16"/>
      <c r="G13" s="16">
        <f t="shared" si="2"/>
        <v>68608</v>
      </c>
    </row>
    <row r="14" spans="1:7" x14ac:dyDescent="0.25">
      <c r="A14" s="19"/>
      <c r="B14" s="14" t="s">
        <v>16</v>
      </c>
      <c r="C14" s="12" t="s">
        <v>8</v>
      </c>
      <c r="D14" s="20"/>
      <c r="E14" s="16">
        <f>SUM(E15:E17)</f>
        <v>1255390</v>
      </c>
      <c r="F14" s="20"/>
      <c r="G14" s="20">
        <f>SUM(D14:F14)</f>
        <v>1255390</v>
      </c>
    </row>
    <row r="15" spans="1:7" x14ac:dyDescent="0.25">
      <c r="A15" s="19"/>
      <c r="B15" s="17" t="s">
        <v>12</v>
      </c>
      <c r="C15" s="12"/>
      <c r="D15" s="20"/>
      <c r="E15" s="18">
        <v>987750</v>
      </c>
      <c r="F15" s="20"/>
      <c r="G15" s="20">
        <f t="shared" ref="G15:G24" si="3">SUM(D15:F15)</f>
        <v>987750</v>
      </c>
    </row>
    <row r="16" spans="1:7" x14ac:dyDescent="0.25">
      <c r="A16" s="19"/>
      <c r="B16" s="17" t="s">
        <v>13</v>
      </c>
      <c r="C16" s="12"/>
      <c r="D16" s="20"/>
      <c r="E16" s="18">
        <v>242215</v>
      </c>
      <c r="F16" s="20"/>
      <c r="G16" s="20">
        <f t="shared" si="3"/>
        <v>242215</v>
      </c>
    </row>
    <row r="17" spans="1:8" x14ac:dyDescent="0.25">
      <c r="A17" s="19"/>
      <c r="B17" s="17" t="s">
        <v>14</v>
      </c>
      <c r="C17" s="12"/>
      <c r="D17" s="20"/>
      <c r="E17" s="18">
        <v>25425</v>
      </c>
      <c r="F17" s="20"/>
      <c r="G17" s="20">
        <f t="shared" si="3"/>
        <v>25425</v>
      </c>
    </row>
    <row r="18" spans="1:8" ht="13.8" x14ac:dyDescent="0.3">
      <c r="A18" s="10" t="s">
        <v>17</v>
      </c>
      <c r="B18" s="11" t="s">
        <v>18</v>
      </c>
      <c r="C18" s="12" t="s">
        <v>8</v>
      </c>
      <c r="D18" s="13">
        <v>5526190.4800000004</v>
      </c>
      <c r="E18" s="13"/>
      <c r="F18" s="13">
        <v>0</v>
      </c>
      <c r="G18" s="13">
        <f t="shared" si="3"/>
        <v>5526190.4800000004</v>
      </c>
    </row>
    <row r="19" spans="1:8" ht="13.8" x14ac:dyDescent="0.3">
      <c r="A19" s="10" t="s">
        <v>19</v>
      </c>
      <c r="B19" s="11" t="s">
        <v>20</v>
      </c>
      <c r="C19" s="12" t="s">
        <v>8</v>
      </c>
      <c r="D19" s="13">
        <v>117886.56</v>
      </c>
      <c r="E19" s="13"/>
      <c r="F19" s="13">
        <v>0</v>
      </c>
      <c r="G19" s="13">
        <f t="shared" si="3"/>
        <v>117886.56</v>
      </c>
    </row>
    <row r="20" spans="1:8" ht="13.8" x14ac:dyDescent="0.3">
      <c r="A20" s="10" t="s">
        <v>21</v>
      </c>
      <c r="B20" s="11" t="s">
        <v>22</v>
      </c>
      <c r="C20" s="12" t="s">
        <v>8</v>
      </c>
      <c r="D20" s="13">
        <v>137380</v>
      </c>
      <c r="E20" s="13">
        <v>269370</v>
      </c>
      <c r="F20" s="13"/>
      <c r="G20" s="13">
        <f t="shared" si="3"/>
        <v>406750</v>
      </c>
    </row>
    <row r="21" spans="1:8" ht="13.8" x14ac:dyDescent="0.3">
      <c r="A21" s="10">
        <v>1.5</v>
      </c>
      <c r="B21" s="11" t="s">
        <v>23</v>
      </c>
      <c r="C21" s="12" t="s">
        <v>8</v>
      </c>
      <c r="D21" s="154">
        <v>448495</v>
      </c>
      <c r="E21" s="13"/>
      <c r="F21" s="13">
        <v>0</v>
      </c>
      <c r="G21" s="13">
        <f t="shared" si="3"/>
        <v>448495</v>
      </c>
    </row>
    <row r="22" spans="1:8" s="22" customFormat="1" ht="13.8" x14ac:dyDescent="0.3">
      <c r="A22" s="10" t="s">
        <v>24</v>
      </c>
      <c r="B22" s="11" t="s">
        <v>25</v>
      </c>
      <c r="C22" s="21" t="s">
        <v>8</v>
      </c>
      <c r="D22" s="13">
        <v>2102521</v>
      </c>
      <c r="E22" s="13">
        <v>185856</v>
      </c>
      <c r="F22" s="13">
        <v>1730703</v>
      </c>
      <c r="G22" s="13">
        <f t="shared" si="3"/>
        <v>4019080</v>
      </c>
    </row>
    <row r="23" spans="1:8" ht="13.8" x14ac:dyDescent="0.3">
      <c r="A23" s="10" t="s">
        <v>26</v>
      </c>
      <c r="B23" s="11" t="s">
        <v>27</v>
      </c>
      <c r="D23" s="13">
        <f>D22*0.22</f>
        <v>462554.62</v>
      </c>
      <c r="E23" s="13">
        <f t="shared" ref="E23:F23" si="4">E22*0.22</f>
        <v>40888.32</v>
      </c>
      <c r="F23" s="13">
        <f t="shared" si="4"/>
        <v>380754.66</v>
      </c>
      <c r="G23" s="13">
        <f t="shared" si="3"/>
        <v>884197.6</v>
      </c>
    </row>
    <row r="24" spans="1:8" ht="13.8" x14ac:dyDescent="0.3">
      <c r="A24" s="10" t="s">
        <v>28</v>
      </c>
      <c r="B24" s="11" t="s">
        <v>29</v>
      </c>
      <c r="C24" s="21" t="s">
        <v>8</v>
      </c>
      <c r="D24" s="13">
        <v>139354.46</v>
      </c>
      <c r="E24" s="13"/>
      <c r="F24" s="13"/>
      <c r="G24" s="13">
        <f t="shared" si="3"/>
        <v>139354.46</v>
      </c>
    </row>
    <row r="25" spans="1:8" ht="13.8" x14ac:dyDescent="0.3">
      <c r="A25" s="10"/>
      <c r="B25" s="11"/>
      <c r="C25" s="21"/>
      <c r="D25" s="13"/>
      <c r="E25" s="13"/>
      <c r="F25" s="13"/>
      <c r="G25" s="13"/>
    </row>
    <row r="26" spans="1:8" x14ac:dyDescent="0.25">
      <c r="A26" s="19"/>
      <c r="B26" s="23" t="s">
        <v>30</v>
      </c>
      <c r="C26" s="15"/>
      <c r="D26" s="24">
        <f>D4/$G$4</f>
        <v>0.88593487349856603</v>
      </c>
      <c r="E26" s="24">
        <f>E4/$G$4</f>
        <v>5.1718231466675729E-2</v>
      </c>
      <c r="F26" s="24">
        <f>F4/$G$4</f>
        <v>6.2346895034758182E-2</v>
      </c>
      <c r="G26" s="24">
        <f>SUM(D26:F26)</f>
        <v>1</v>
      </c>
    </row>
    <row r="27" spans="1:8" x14ac:dyDescent="0.25">
      <c r="A27" s="19"/>
      <c r="B27" s="14"/>
      <c r="C27" s="15"/>
      <c r="D27" s="24"/>
      <c r="E27" s="24"/>
      <c r="F27" s="24"/>
      <c r="G27" s="24"/>
    </row>
    <row r="28" spans="1:8" ht="13.8" x14ac:dyDescent="0.25">
      <c r="A28" s="25">
        <v>2</v>
      </c>
      <c r="B28" s="26" t="s">
        <v>31</v>
      </c>
      <c r="C28" s="27" t="s">
        <v>8</v>
      </c>
      <c r="D28" s="28">
        <f>SUM(D29:D33)</f>
        <v>752275.98765883618</v>
      </c>
      <c r="E28" s="28">
        <f>SUM(E29:E33)</f>
        <v>43915.624974689257</v>
      </c>
      <c r="F28" s="28">
        <f>SUM(F29:F33)</f>
        <v>52940.38736647441</v>
      </c>
      <c r="G28" s="28">
        <f>SUM(G29:G33)</f>
        <v>849132</v>
      </c>
      <c r="H28" s="29"/>
    </row>
    <row r="29" spans="1:8" ht="13.8" x14ac:dyDescent="0.3">
      <c r="A29" s="30"/>
      <c r="B29" s="23" t="s">
        <v>32</v>
      </c>
      <c r="C29" s="27" t="s">
        <v>8</v>
      </c>
      <c r="D29" s="31">
        <f>$G$29*D26</f>
        <v>464432.75279927975</v>
      </c>
      <c r="E29" s="31">
        <f>$G$29*E26</f>
        <v>27112.196763543951</v>
      </c>
      <c r="F29" s="31">
        <f>$G$29*F26</f>
        <v>32684.050437176247</v>
      </c>
      <c r="G29" s="32">
        <v>524229</v>
      </c>
    </row>
    <row r="30" spans="1:8" ht="26.4" x14ac:dyDescent="0.3">
      <c r="A30" s="10"/>
      <c r="B30" s="23" t="s">
        <v>33</v>
      </c>
      <c r="C30" s="33" t="s">
        <v>8</v>
      </c>
      <c r="D30" s="31">
        <f>D29*0.22</f>
        <v>102175.20561584155</v>
      </c>
      <c r="E30" s="31">
        <f t="shared" ref="E30" si="5">E29*0.22</f>
        <v>5964.6832879796693</v>
      </c>
      <c r="F30" s="31">
        <f>G30-D30-E30</f>
        <v>7190.1110961787799</v>
      </c>
      <c r="G30" s="31">
        <v>115330</v>
      </c>
    </row>
    <row r="31" spans="1:8" ht="52.8" x14ac:dyDescent="0.3">
      <c r="A31" s="10"/>
      <c r="B31" s="23" t="s">
        <v>34</v>
      </c>
      <c r="C31" s="33" t="s">
        <v>8</v>
      </c>
      <c r="D31" s="31">
        <f>$G$31*D26</f>
        <v>109833.77594198473</v>
      </c>
      <c r="E31" s="31">
        <f>$G$31*E26</f>
        <v>6411.7677460811237</v>
      </c>
      <c r="F31" s="31">
        <f>$G$31*F26</f>
        <v>7729.4563119341456</v>
      </c>
      <c r="G31" s="31">
        <v>123975</v>
      </c>
    </row>
    <row r="32" spans="1:8" ht="13.8" x14ac:dyDescent="0.3">
      <c r="A32" s="10"/>
      <c r="B32" s="23" t="s">
        <v>35</v>
      </c>
      <c r="C32" s="27" t="s">
        <v>8</v>
      </c>
      <c r="D32" s="31">
        <f>$G$32*D26</f>
        <v>10928.006664604813</v>
      </c>
      <c r="E32" s="31">
        <f>$G$32*E26</f>
        <v>637.94438514144508</v>
      </c>
      <c r="F32" s="31">
        <f>$G$32*F26</f>
        <v>769.04895025374219</v>
      </c>
      <c r="G32" s="32">
        <v>12335</v>
      </c>
    </row>
    <row r="33" spans="1:8" ht="37.200000000000003" customHeight="1" x14ac:dyDescent="0.3">
      <c r="A33" s="10"/>
      <c r="B33" s="23" t="s">
        <v>36</v>
      </c>
      <c r="C33" s="33" t="s">
        <v>8</v>
      </c>
      <c r="D33" s="31">
        <f>$G$33*D26</f>
        <v>64906.246637125441</v>
      </c>
      <c r="E33" s="31">
        <f>$G$33*E26</f>
        <v>3789.0327919430638</v>
      </c>
      <c r="F33" s="31">
        <f>$G$33*F26</f>
        <v>4567.7205709314885</v>
      </c>
      <c r="G33" s="31">
        <v>73263</v>
      </c>
    </row>
    <row r="34" spans="1:8" ht="13.8" x14ac:dyDescent="0.3">
      <c r="A34" s="10"/>
      <c r="B34" s="23"/>
      <c r="C34" s="27"/>
      <c r="D34" s="31"/>
      <c r="E34" s="31"/>
      <c r="F34" s="31"/>
      <c r="G34" s="31"/>
    </row>
    <row r="35" spans="1:8" ht="17.25" customHeight="1" x14ac:dyDescent="0.3">
      <c r="A35" s="10"/>
      <c r="B35" s="34" t="s">
        <v>37</v>
      </c>
      <c r="C35" s="27"/>
      <c r="D35" s="35">
        <f>D4+D28</f>
        <v>30755598.107658837</v>
      </c>
      <c r="E35" s="35">
        <f>E4+E28</f>
        <v>1795419.9449746893</v>
      </c>
      <c r="F35" s="35">
        <f>F4+F28</f>
        <v>2164398.0473664748</v>
      </c>
      <c r="G35" s="35">
        <f>G4+G28</f>
        <v>34715416.100000001</v>
      </c>
    </row>
    <row r="36" spans="1:8" ht="13.8" x14ac:dyDescent="0.3">
      <c r="A36" s="10"/>
      <c r="B36" s="23"/>
      <c r="C36" s="27"/>
      <c r="D36" s="31"/>
      <c r="E36" s="31"/>
      <c r="F36" s="31"/>
      <c r="G36" s="31"/>
    </row>
    <row r="37" spans="1:8" ht="26.4" customHeight="1" x14ac:dyDescent="0.3">
      <c r="A37" s="10"/>
      <c r="B37" s="23" t="s">
        <v>38</v>
      </c>
      <c r="C37" s="15"/>
      <c r="D37" s="36">
        <f>D35/G35</f>
        <v>0.88593488319613822</v>
      </c>
      <c r="E37" s="36">
        <f>E35/G35</f>
        <v>5.1718232032791023E-2</v>
      </c>
      <c r="F37" s="36">
        <f>F35/G35</f>
        <v>6.2346884771070761E-2</v>
      </c>
      <c r="G37" s="36">
        <f>SUM(D37:F37)</f>
        <v>1</v>
      </c>
    </row>
    <row r="38" spans="1:8" ht="13.8" x14ac:dyDescent="0.25">
      <c r="A38" s="25"/>
      <c r="B38" s="26"/>
      <c r="C38" s="37"/>
      <c r="D38" s="28"/>
      <c r="E38" s="28"/>
      <c r="F38" s="28"/>
      <c r="G38" s="28"/>
    </row>
    <row r="39" spans="1:8" ht="13.8" x14ac:dyDescent="0.25">
      <c r="A39" s="25">
        <v>4</v>
      </c>
      <c r="B39" s="26" t="s">
        <v>39</v>
      </c>
      <c r="C39" s="37" t="s">
        <v>8</v>
      </c>
      <c r="D39" s="28">
        <f>SUM(D40:D55)</f>
        <v>2155576.4920924255</v>
      </c>
      <c r="E39" s="28">
        <f>SUM(E40:E55)</f>
        <v>125836.11651036495</v>
      </c>
      <c r="F39" s="28">
        <f>SUM(F40:F55)</f>
        <v>151696.3913972092</v>
      </c>
      <c r="G39" s="28">
        <f>SUM(G40:G55)</f>
        <v>2433109</v>
      </c>
      <c r="H39" s="29"/>
    </row>
    <row r="40" spans="1:8" ht="26.4" x14ac:dyDescent="0.25">
      <c r="A40" s="25"/>
      <c r="B40" s="23" t="s">
        <v>40</v>
      </c>
      <c r="C40" s="27" t="s">
        <v>8</v>
      </c>
      <c r="D40" s="31">
        <f>$G$40*D37</f>
        <v>1456184.5894629965</v>
      </c>
      <c r="E40" s="31">
        <f>$G$40*E37</f>
        <v>85007.706445337622</v>
      </c>
      <c r="F40" s="31">
        <f>$G$40*F37</f>
        <v>102477.70409166587</v>
      </c>
      <c r="G40" s="31">
        <v>1643670</v>
      </c>
    </row>
    <row r="41" spans="1:8" ht="36" customHeight="1" x14ac:dyDescent="0.25">
      <c r="A41" s="25"/>
      <c r="B41" s="17" t="s">
        <v>41</v>
      </c>
      <c r="C41" s="27" t="s">
        <v>8</v>
      </c>
      <c r="D41" s="31">
        <f>D40*0.22</f>
        <v>320360.60968185921</v>
      </c>
      <c r="E41" s="31">
        <f t="shared" ref="E41" si="6">E40*0.22</f>
        <v>18701.695417974279</v>
      </c>
      <c r="F41" s="31">
        <f>G41-D41-E41</f>
        <v>22544.694900166516</v>
      </c>
      <c r="G41" s="31">
        <v>361607</v>
      </c>
    </row>
    <row r="42" spans="1:8" ht="13.8" x14ac:dyDescent="0.25">
      <c r="A42" s="25"/>
      <c r="B42" s="23" t="s">
        <v>42</v>
      </c>
      <c r="C42" s="27" t="s">
        <v>8</v>
      </c>
      <c r="D42" s="31">
        <f>$G$42*D37</f>
        <v>3805.0903233274134</v>
      </c>
      <c r="E42" s="31">
        <f>$G$42*E37</f>
        <v>222.12980658083745</v>
      </c>
      <c r="F42" s="31">
        <f>$G$42*F37</f>
        <v>267.77987009174893</v>
      </c>
      <c r="G42" s="32">
        <v>4295</v>
      </c>
    </row>
    <row r="43" spans="1:8" ht="13.8" x14ac:dyDescent="0.25">
      <c r="A43" s="25"/>
      <c r="B43" s="23" t="s">
        <v>43</v>
      </c>
      <c r="C43" s="27" t="s">
        <v>8</v>
      </c>
      <c r="D43" s="31">
        <f>$G$43*D37</f>
        <v>0</v>
      </c>
      <c r="E43" s="31">
        <f>$G$43*E37</f>
        <v>0</v>
      </c>
      <c r="F43" s="31">
        <f>$G$43*F37</f>
        <v>0</v>
      </c>
      <c r="G43" s="32"/>
    </row>
    <row r="44" spans="1:8" ht="13.8" x14ac:dyDescent="0.25">
      <c r="A44" s="25"/>
      <c r="B44" s="23" t="s">
        <v>44</v>
      </c>
      <c r="C44" s="27" t="s">
        <v>8</v>
      </c>
      <c r="D44" s="31">
        <f>$G$44*D37</f>
        <v>0</v>
      </c>
      <c r="E44" s="31">
        <f>$G$44*E37</f>
        <v>0</v>
      </c>
      <c r="F44" s="31">
        <f>$G$44*F37</f>
        <v>0</v>
      </c>
      <c r="G44" s="32"/>
    </row>
    <row r="45" spans="1:8" ht="13.8" x14ac:dyDescent="0.25">
      <c r="A45" s="25"/>
      <c r="B45" s="23" t="s">
        <v>45</v>
      </c>
      <c r="C45" s="27" t="s">
        <v>8</v>
      </c>
      <c r="D45" s="31">
        <f>$G$45*D37</f>
        <v>3145.0688353462906</v>
      </c>
      <c r="E45" s="31">
        <f>$G$45*E37</f>
        <v>183.59972371640814</v>
      </c>
      <c r="F45" s="31">
        <f>$G$45*F37</f>
        <v>221.33144093730121</v>
      </c>
      <c r="G45" s="32">
        <v>3550</v>
      </c>
    </row>
    <row r="46" spans="1:8" ht="36" x14ac:dyDescent="0.25">
      <c r="A46" s="25"/>
      <c r="B46" s="17" t="s">
        <v>46</v>
      </c>
      <c r="C46" s="33" t="s">
        <v>8</v>
      </c>
      <c r="D46" s="31">
        <f>$G$46*D37</f>
        <v>4885.9308808267024</v>
      </c>
      <c r="E46" s="31">
        <f>$G$46*E37</f>
        <v>285.22604966084248</v>
      </c>
      <c r="F46" s="31">
        <f>$G$46*F37</f>
        <v>343.84306951245526</v>
      </c>
      <c r="G46" s="31">
        <v>5515</v>
      </c>
    </row>
    <row r="47" spans="1:8" ht="26.4" x14ac:dyDescent="0.25">
      <c r="A47" s="25"/>
      <c r="B47" s="23" t="s">
        <v>47</v>
      </c>
      <c r="C47" s="33" t="s">
        <v>8</v>
      </c>
      <c r="D47" s="31">
        <f>$G$47*D37</f>
        <v>107369.99223407278</v>
      </c>
      <c r="E47" s="31">
        <f>$G$47*E37</f>
        <v>6267.9394129820748</v>
      </c>
      <c r="F47" s="31">
        <f>$G$47*F37</f>
        <v>7556.0683529451499</v>
      </c>
      <c r="G47" s="31">
        <v>121194</v>
      </c>
    </row>
    <row r="48" spans="1:8" ht="13.8" x14ac:dyDescent="0.25">
      <c r="A48" s="25"/>
      <c r="B48" s="23" t="s">
        <v>48</v>
      </c>
      <c r="C48" s="27" t="s">
        <v>8</v>
      </c>
      <c r="D48" s="31">
        <f>$G$48*D37</f>
        <v>17895.884640561992</v>
      </c>
      <c r="E48" s="31">
        <f>$G$48*E37</f>
        <v>1044.7082870623788</v>
      </c>
      <c r="F48" s="31">
        <f>$G$48*F37</f>
        <v>1259.4070723756295</v>
      </c>
      <c r="G48" s="32">
        <v>20200</v>
      </c>
    </row>
    <row r="49" spans="1:7" ht="13.8" x14ac:dyDescent="0.25">
      <c r="A49" s="25"/>
      <c r="B49" s="23" t="s">
        <v>49</v>
      </c>
      <c r="C49" s="27" t="s">
        <v>8</v>
      </c>
      <c r="D49" s="31">
        <f>$G$49*D37</f>
        <v>17692.119617426881</v>
      </c>
      <c r="E49" s="31">
        <f>$G$49*E37</f>
        <v>1032.8130936948367</v>
      </c>
      <c r="F49" s="31">
        <f>$G$49*F37</f>
        <v>1245.0672888782831</v>
      </c>
      <c r="G49" s="32">
        <v>19970</v>
      </c>
    </row>
    <row r="50" spans="1:7" ht="13.8" x14ac:dyDescent="0.25">
      <c r="A50" s="25"/>
      <c r="B50" s="23" t="s">
        <v>50</v>
      </c>
      <c r="C50" s="27" t="s">
        <v>8</v>
      </c>
      <c r="D50" s="31">
        <f>$G$50*D37</f>
        <v>21737.298294100448</v>
      </c>
      <c r="E50" s="31">
        <f>$G$50*E37</f>
        <v>1268.9585411565606</v>
      </c>
      <c r="F50" s="31">
        <f>$G$50*F37</f>
        <v>1529.7431647429921</v>
      </c>
      <c r="G50" s="32">
        <v>24536</v>
      </c>
    </row>
    <row r="51" spans="1:7" ht="18.75" customHeight="1" x14ac:dyDescent="0.25">
      <c r="A51" s="25"/>
      <c r="B51" s="23" t="s">
        <v>51</v>
      </c>
      <c r="C51" s="33" t="s">
        <v>8</v>
      </c>
      <c r="D51" s="31">
        <f>$G$51*D37</f>
        <v>442.96744159806912</v>
      </c>
      <c r="E51" s="31">
        <f>$G$51*E37</f>
        <v>25.859116016395511</v>
      </c>
      <c r="F51" s="31">
        <f>$G$51*F37</f>
        <v>31.173442385535381</v>
      </c>
      <c r="G51" s="31">
        <v>500</v>
      </c>
    </row>
    <row r="52" spans="1:7" ht="13.8" x14ac:dyDescent="0.25">
      <c r="A52" s="25"/>
      <c r="B52" s="23" t="s">
        <v>52</v>
      </c>
      <c r="C52" s="27" t="s">
        <v>8</v>
      </c>
      <c r="D52" s="31">
        <f>$G$52*D37</f>
        <v>52904.48748494059</v>
      </c>
      <c r="E52" s="31">
        <f>$G$52*E37</f>
        <v>3088.4059440701485</v>
      </c>
      <c r="F52" s="31">
        <f>$G$52*F37</f>
        <v>3723.1065709892614</v>
      </c>
      <c r="G52" s="32">
        <v>59716</v>
      </c>
    </row>
    <row r="53" spans="1:7" ht="27.75" customHeight="1" x14ac:dyDescent="0.25">
      <c r="A53" s="25"/>
      <c r="B53" s="23" t="s">
        <v>53</v>
      </c>
      <c r="C53" s="33" t="s">
        <v>8</v>
      </c>
      <c r="D53" s="31">
        <f>$G$53*D37</f>
        <v>24633.419427268622</v>
      </c>
      <c r="E53" s="31">
        <f>$G$53*E37</f>
        <v>1438.0254416717544</v>
      </c>
      <c r="F53" s="31">
        <f>$G$53*F37</f>
        <v>1733.5551310596225</v>
      </c>
      <c r="G53" s="31">
        <v>27805</v>
      </c>
    </row>
    <row r="54" spans="1:7" ht="22.8" customHeight="1" x14ac:dyDescent="0.25">
      <c r="A54" s="25"/>
      <c r="B54" s="23" t="s">
        <v>54</v>
      </c>
      <c r="C54" s="33" t="s">
        <v>8</v>
      </c>
      <c r="D54" s="31">
        <f>$G$54*D37</f>
        <v>74781.763490586032</v>
      </c>
      <c r="E54" s="31">
        <f>$G$54*E37</f>
        <v>4365.5359658878906</v>
      </c>
      <c r="F54" s="31">
        <f>$G$54*F37</f>
        <v>5262.7005435260826</v>
      </c>
      <c r="G54" s="31">
        <v>84410</v>
      </c>
    </row>
    <row r="55" spans="1:7" ht="13.8" x14ac:dyDescent="0.25">
      <c r="A55" s="25"/>
      <c r="B55" s="23" t="s">
        <v>55</v>
      </c>
      <c r="C55" s="27" t="s">
        <v>8</v>
      </c>
      <c r="D55" s="31">
        <f>$G$55*D37</f>
        <v>49737.270277514399</v>
      </c>
      <c r="E55" s="31">
        <f>$G$55*E37</f>
        <v>2903.5132645529206</v>
      </c>
      <c r="F55" s="31">
        <f>$G$55*F37</f>
        <v>3500.2164579326836</v>
      </c>
      <c r="G55" s="32">
        <v>56141</v>
      </c>
    </row>
    <row r="56" spans="1:7" x14ac:dyDescent="0.25">
      <c r="A56" s="38"/>
      <c r="B56" s="39"/>
      <c r="C56" s="40"/>
      <c r="D56" s="32"/>
      <c r="E56" s="32"/>
      <c r="F56" s="32"/>
      <c r="G56" s="32"/>
    </row>
    <row r="57" spans="1:7" ht="14.4" thickBot="1" x14ac:dyDescent="0.3">
      <c r="A57" s="41">
        <v>5</v>
      </c>
      <c r="B57" s="42" t="s">
        <v>56</v>
      </c>
      <c r="C57" s="43" t="s">
        <v>8</v>
      </c>
      <c r="D57" s="44">
        <f>D4+D28+D39</f>
        <v>32911174.599751264</v>
      </c>
      <c r="E57" s="44">
        <f>E4+E28+E39</f>
        <v>1921256.0614850542</v>
      </c>
      <c r="F57" s="44">
        <f>F4+F28+F39</f>
        <v>2316094.4387636841</v>
      </c>
      <c r="G57" s="44">
        <f>G4+G28+G39</f>
        <v>37148525.100000001</v>
      </c>
    </row>
    <row r="58" spans="1:7" ht="13.8" x14ac:dyDescent="0.25">
      <c r="A58" s="159">
        <v>6</v>
      </c>
      <c r="B58" s="45" t="s">
        <v>57</v>
      </c>
      <c r="C58" s="46" t="s">
        <v>58</v>
      </c>
      <c r="D58" s="47">
        <f>SUM(D59:D61)</f>
        <v>15751</v>
      </c>
      <c r="E58" s="47">
        <f>SUM(E59:E61)</f>
        <v>15751</v>
      </c>
      <c r="F58" s="47">
        <f>SUM(F59:F61)</f>
        <v>15751</v>
      </c>
      <c r="G58" s="47"/>
    </row>
    <row r="59" spans="1:7" x14ac:dyDescent="0.25">
      <c r="A59" s="160"/>
      <c r="B59" s="23" t="s">
        <v>59</v>
      </c>
      <c r="C59" s="15" t="s">
        <v>58</v>
      </c>
      <c r="D59" s="20">
        <v>12393</v>
      </c>
      <c r="E59" s="20">
        <v>12393</v>
      </c>
      <c r="F59" s="20">
        <v>12393</v>
      </c>
      <c r="G59" s="20"/>
    </row>
    <row r="60" spans="1:7" x14ac:dyDescent="0.25">
      <c r="A60" s="160"/>
      <c r="B60" s="23" t="s">
        <v>60</v>
      </c>
      <c r="C60" s="15" t="s">
        <v>58</v>
      </c>
      <c r="D60" s="20">
        <v>3039</v>
      </c>
      <c r="E60" s="20">
        <v>3039</v>
      </c>
      <c r="F60" s="20">
        <v>3039</v>
      </c>
      <c r="G60" s="20"/>
    </row>
    <row r="61" spans="1:7" ht="13.8" thickBot="1" x14ac:dyDescent="0.3">
      <c r="A61" s="161"/>
      <c r="B61" s="48" t="s">
        <v>61</v>
      </c>
      <c r="C61" s="49" t="s">
        <v>58</v>
      </c>
      <c r="D61" s="50">
        <v>319</v>
      </c>
      <c r="E61" s="50">
        <v>319</v>
      </c>
      <c r="F61" s="50">
        <v>319</v>
      </c>
      <c r="G61" s="50"/>
    </row>
    <row r="62" spans="1:7" ht="13.8" x14ac:dyDescent="0.25">
      <c r="A62" s="159">
        <v>7</v>
      </c>
      <c r="B62" s="51" t="s">
        <v>62</v>
      </c>
      <c r="C62" s="46" t="s">
        <v>8</v>
      </c>
      <c r="D62" s="47">
        <f>D57-D5</f>
        <v>11842234.599751264</v>
      </c>
      <c r="E62" s="47">
        <f>E57-E5</f>
        <v>665866.0614850542</v>
      </c>
      <c r="F62" s="47">
        <f>F57-F5</f>
        <v>2316094.4387636841</v>
      </c>
      <c r="G62" s="47">
        <f t="shared" ref="G62:G86" si="7">SUM(D62:F62)</f>
        <v>14824195.100000001</v>
      </c>
    </row>
    <row r="63" spans="1:7" ht="14.4" thickBot="1" x14ac:dyDescent="0.3">
      <c r="A63" s="161"/>
      <c r="B63" s="52" t="s">
        <v>62</v>
      </c>
      <c r="C63" s="49" t="s">
        <v>63</v>
      </c>
      <c r="D63" s="53">
        <f>D62/D58</f>
        <v>751.84017521117789</v>
      </c>
      <c r="E63" s="53">
        <f t="shared" ref="E63:F63" si="8">E62/E58</f>
        <v>42.274526156120515</v>
      </c>
      <c r="F63" s="53">
        <f t="shared" si="8"/>
        <v>147.04427901489964</v>
      </c>
      <c r="G63" s="53">
        <f t="shared" si="7"/>
        <v>941.15898038219802</v>
      </c>
    </row>
    <row r="64" spans="1:7" ht="26.4" customHeight="1" x14ac:dyDescent="0.25">
      <c r="A64" s="156">
        <v>8</v>
      </c>
      <c r="B64" s="54" t="s">
        <v>64</v>
      </c>
      <c r="C64" s="55" t="s">
        <v>8</v>
      </c>
      <c r="D64" s="56">
        <f>D7+D11+D15</f>
        <v>13726450</v>
      </c>
      <c r="E64" s="56">
        <f t="shared" ref="D64:F66" si="9">E7+E11+E15</f>
        <v>987750</v>
      </c>
      <c r="F64" s="56">
        <f t="shared" si="9"/>
        <v>0</v>
      </c>
      <c r="G64" s="56">
        <f t="shared" si="7"/>
        <v>14714200</v>
      </c>
    </row>
    <row r="65" spans="1:7" ht="30.6" customHeight="1" x14ac:dyDescent="0.25">
      <c r="A65" s="157"/>
      <c r="B65" s="39" t="s">
        <v>65</v>
      </c>
      <c r="C65" s="57" t="s">
        <v>8</v>
      </c>
      <c r="D65" s="58">
        <f t="shared" si="9"/>
        <v>6644975</v>
      </c>
      <c r="E65" s="58">
        <f t="shared" si="9"/>
        <v>242215</v>
      </c>
      <c r="F65" s="58">
        <f t="shared" si="9"/>
        <v>0</v>
      </c>
      <c r="G65" s="58">
        <f t="shared" si="7"/>
        <v>6887190</v>
      </c>
    </row>
    <row r="66" spans="1:7" ht="30.6" customHeight="1" x14ac:dyDescent="0.25">
      <c r="A66" s="157"/>
      <c r="B66" s="39" t="s">
        <v>66</v>
      </c>
      <c r="C66" s="57" t="s">
        <v>8</v>
      </c>
      <c r="D66" s="58">
        <f t="shared" si="9"/>
        <v>697515</v>
      </c>
      <c r="E66" s="58">
        <f t="shared" si="9"/>
        <v>25425</v>
      </c>
      <c r="F66" s="58">
        <f t="shared" si="9"/>
        <v>0</v>
      </c>
      <c r="G66" s="58">
        <f t="shared" si="7"/>
        <v>722940</v>
      </c>
    </row>
    <row r="67" spans="1:7" ht="26.4" x14ac:dyDescent="0.25">
      <c r="A67" s="157"/>
      <c r="B67" s="39" t="s">
        <v>64</v>
      </c>
      <c r="C67" s="59" t="s">
        <v>67</v>
      </c>
      <c r="D67" s="60">
        <f>D64/D59</f>
        <v>1107.59703058178</v>
      </c>
      <c r="E67" s="60">
        <f>E64/E59</f>
        <v>79.702251270878719</v>
      </c>
      <c r="F67" s="60">
        <f>F64/F59</f>
        <v>0</v>
      </c>
      <c r="G67" s="60">
        <f t="shared" si="7"/>
        <v>1187.2992818526586</v>
      </c>
    </row>
    <row r="68" spans="1:7" ht="26.4" x14ac:dyDescent="0.25">
      <c r="A68" s="157"/>
      <c r="B68" s="39" t="s">
        <v>68</v>
      </c>
      <c r="C68" s="59" t="s">
        <v>67</v>
      </c>
      <c r="D68" s="60">
        <f>D65/D60</f>
        <v>2186.5663047054954</v>
      </c>
      <c r="E68" s="60">
        <f t="shared" ref="E68:F68" si="10">E65/E60</f>
        <v>79.702204672589673</v>
      </c>
      <c r="F68" s="60">
        <f t="shared" si="10"/>
        <v>0</v>
      </c>
      <c r="G68" s="60">
        <f t="shared" si="7"/>
        <v>2266.2685093780851</v>
      </c>
    </row>
    <row r="69" spans="1:7" ht="31.2" customHeight="1" thickBot="1" x14ac:dyDescent="0.3">
      <c r="A69" s="158"/>
      <c r="B69" s="61" t="s">
        <v>69</v>
      </c>
      <c r="C69" s="62" t="s">
        <v>67</v>
      </c>
      <c r="D69" s="63">
        <f>D66/D61</f>
        <v>2186.5673981191221</v>
      </c>
      <c r="E69" s="63">
        <f t="shared" ref="E69:F69" si="11">E66/E61</f>
        <v>79.702194357366764</v>
      </c>
      <c r="F69" s="63">
        <f t="shared" si="11"/>
        <v>0</v>
      </c>
      <c r="G69" s="63">
        <f>SUM(D69:F69)</f>
        <v>2266.2695924764889</v>
      </c>
    </row>
    <row r="70" spans="1:7" ht="27" customHeight="1" x14ac:dyDescent="0.25">
      <c r="A70" s="156">
        <v>9</v>
      </c>
      <c r="B70" s="64" t="s">
        <v>70</v>
      </c>
      <c r="C70" s="65" t="s">
        <v>67</v>
      </c>
      <c r="D70" s="66">
        <f>D67+$D$63</f>
        <v>1859.4372057929579</v>
      </c>
      <c r="E70" s="66">
        <f>E67+$E$63</f>
        <v>121.97677742699923</v>
      </c>
      <c r="F70" s="66">
        <f>F67+$F$63</f>
        <v>147.04427901489964</v>
      </c>
      <c r="G70" s="66">
        <f t="shared" si="7"/>
        <v>2128.4582622348566</v>
      </c>
    </row>
    <row r="71" spans="1:7" ht="31.8" customHeight="1" x14ac:dyDescent="0.25">
      <c r="A71" s="157"/>
      <c r="B71" s="67" t="s">
        <v>71</v>
      </c>
      <c r="C71" s="65" t="s">
        <v>67</v>
      </c>
      <c r="D71" s="68">
        <f t="shared" ref="D71:D72" si="12">D68+$D$63</f>
        <v>2938.4064799166736</v>
      </c>
      <c r="E71" s="66">
        <f t="shared" ref="E71:E72" si="13">E68+$E$63</f>
        <v>121.97673082871019</v>
      </c>
      <c r="F71" s="66">
        <f t="shared" ref="F71:F72" si="14">F68+$F$63</f>
        <v>147.04427901489964</v>
      </c>
      <c r="G71" s="66">
        <f t="shared" si="7"/>
        <v>3207.4274897602832</v>
      </c>
    </row>
    <row r="72" spans="1:7" ht="36.6" customHeight="1" thickBot="1" x14ac:dyDescent="0.3">
      <c r="A72" s="158"/>
      <c r="B72" s="69" t="s">
        <v>72</v>
      </c>
      <c r="C72" s="70" t="s">
        <v>67</v>
      </c>
      <c r="D72" s="71">
        <f t="shared" si="12"/>
        <v>2938.4075733302998</v>
      </c>
      <c r="E72" s="72">
        <f t="shared" si="13"/>
        <v>121.97672051348728</v>
      </c>
      <c r="F72" s="71">
        <f t="shared" si="14"/>
        <v>147.04427901489964</v>
      </c>
      <c r="G72" s="71">
        <f t="shared" si="7"/>
        <v>3207.4285728586865</v>
      </c>
    </row>
    <row r="73" spans="1:7" ht="17.25" customHeight="1" x14ac:dyDescent="0.25">
      <c r="A73" s="156">
        <v>10</v>
      </c>
      <c r="B73" s="73" t="s">
        <v>120</v>
      </c>
      <c r="C73" s="74" t="s">
        <v>8</v>
      </c>
      <c r="D73" s="75">
        <f>D57*0</f>
        <v>0</v>
      </c>
      <c r="E73" s="75">
        <f t="shared" ref="E73:F73" si="15">E57*0</f>
        <v>0</v>
      </c>
      <c r="F73" s="75">
        <f t="shared" si="15"/>
        <v>0</v>
      </c>
      <c r="G73" s="76">
        <f t="shared" si="7"/>
        <v>0</v>
      </c>
    </row>
    <row r="74" spans="1:7" ht="17.25" customHeight="1" x14ac:dyDescent="0.25">
      <c r="A74" s="157"/>
      <c r="B74" s="73" t="s">
        <v>73</v>
      </c>
      <c r="C74" s="74" t="s">
        <v>67</v>
      </c>
      <c r="D74" s="75">
        <f>D70*0</f>
        <v>0</v>
      </c>
      <c r="E74" s="75">
        <f t="shared" ref="E74:F76" si="16">E70*0</f>
        <v>0</v>
      </c>
      <c r="F74" s="75">
        <f t="shared" si="16"/>
        <v>0</v>
      </c>
      <c r="G74" s="75">
        <f t="shared" si="7"/>
        <v>0</v>
      </c>
    </row>
    <row r="75" spans="1:7" ht="27" customHeight="1" x14ac:dyDescent="0.25">
      <c r="A75" s="157"/>
      <c r="B75" s="73" t="s">
        <v>74</v>
      </c>
      <c r="C75" s="74" t="s">
        <v>67</v>
      </c>
      <c r="D75" s="75">
        <f>D71*0</f>
        <v>0</v>
      </c>
      <c r="E75" s="75">
        <f t="shared" si="16"/>
        <v>0</v>
      </c>
      <c r="F75" s="75">
        <f t="shared" si="16"/>
        <v>0</v>
      </c>
      <c r="G75" s="75">
        <f t="shared" si="7"/>
        <v>0</v>
      </c>
    </row>
    <row r="76" spans="1:7" ht="27.6" customHeight="1" thickBot="1" x14ac:dyDescent="0.3">
      <c r="A76" s="158"/>
      <c r="B76" s="77" t="s">
        <v>75</v>
      </c>
      <c r="C76" s="78" t="s">
        <v>67</v>
      </c>
      <c r="D76" s="79">
        <f>D72*0</f>
        <v>0</v>
      </c>
      <c r="E76" s="79">
        <f t="shared" si="16"/>
        <v>0</v>
      </c>
      <c r="F76" s="79">
        <f t="shared" si="16"/>
        <v>0</v>
      </c>
      <c r="G76" s="79">
        <f t="shared" si="7"/>
        <v>0</v>
      </c>
    </row>
    <row r="77" spans="1:7" ht="17.25" customHeight="1" x14ac:dyDescent="0.25">
      <c r="A77" s="156">
        <v>11</v>
      </c>
      <c r="B77" s="80" t="s">
        <v>76</v>
      </c>
      <c r="C77" s="81" t="s">
        <v>8</v>
      </c>
      <c r="D77" s="76">
        <f>D57*0.04</f>
        <v>1316446.9839900506</v>
      </c>
      <c r="E77" s="76">
        <f>E57*0.04</f>
        <v>76850.242459402172</v>
      </c>
      <c r="F77" s="76">
        <f>F57*0.04</f>
        <v>92643.777550547369</v>
      </c>
      <c r="G77" s="76">
        <f t="shared" si="7"/>
        <v>1485941.0040000002</v>
      </c>
    </row>
    <row r="78" spans="1:7" ht="24" customHeight="1" x14ac:dyDescent="0.25">
      <c r="A78" s="157"/>
      <c r="B78" s="73" t="s">
        <v>86</v>
      </c>
      <c r="C78" s="74" t="s">
        <v>119</v>
      </c>
      <c r="D78" s="75">
        <f>D70*0.04</f>
        <v>74.377488231718317</v>
      </c>
      <c r="E78" s="75">
        <f t="shared" ref="E78" si="17">E70*0.04</f>
        <v>4.8790710970799696</v>
      </c>
      <c r="F78" s="75">
        <f>F70*0.03935</f>
        <v>5.7861923792363017</v>
      </c>
      <c r="G78" s="75">
        <f t="shared" si="7"/>
        <v>85.042751708034586</v>
      </c>
    </row>
    <row r="79" spans="1:7" ht="24" customHeight="1" x14ac:dyDescent="0.25">
      <c r="A79" s="157"/>
      <c r="B79" s="39" t="s">
        <v>77</v>
      </c>
      <c r="C79" s="74" t="s">
        <v>119</v>
      </c>
      <c r="D79" s="75">
        <f>D71*0.04</f>
        <v>117.53625919666695</v>
      </c>
      <c r="E79" s="75">
        <f t="shared" ref="E79:E80" si="18">E71*0.04</f>
        <v>4.8790692331484076</v>
      </c>
      <c r="F79" s="75">
        <f>F71*0.03906</f>
        <v>5.7435495383219797</v>
      </c>
      <c r="G79" s="75">
        <f t="shared" si="7"/>
        <v>128.15887796813735</v>
      </c>
    </row>
    <row r="80" spans="1:7" ht="27.6" customHeight="1" thickBot="1" x14ac:dyDescent="0.3">
      <c r="A80" s="158"/>
      <c r="B80" s="77" t="s">
        <v>78</v>
      </c>
      <c r="C80" s="62" t="s">
        <v>119</v>
      </c>
      <c r="D80" s="82">
        <f>D72*0.04</f>
        <v>117.536302933212</v>
      </c>
      <c r="E80" s="82">
        <f t="shared" si="18"/>
        <v>4.8790688205394916</v>
      </c>
      <c r="F80" s="82">
        <f>F72*0.03906</f>
        <v>5.7435495383219797</v>
      </c>
      <c r="G80" s="82">
        <f t="shared" si="7"/>
        <v>128.15892129207347</v>
      </c>
    </row>
    <row r="81" spans="1:7" ht="22.8" customHeight="1" x14ac:dyDescent="0.25">
      <c r="A81" s="156">
        <v>12</v>
      </c>
      <c r="B81" s="80" t="s">
        <v>79</v>
      </c>
      <c r="C81" s="81" t="s">
        <v>67</v>
      </c>
      <c r="D81" s="76">
        <f>(D70+D74+D78)*0.2</f>
        <v>386.76293880493529</v>
      </c>
      <c r="E81" s="76">
        <f t="shared" ref="E81:F83" si="19">(E70+E74+E78)*0.2</f>
        <v>25.371169704815841</v>
      </c>
      <c r="F81" s="76">
        <f t="shared" si="19"/>
        <v>30.56609427882719</v>
      </c>
      <c r="G81" s="76">
        <f t="shared" si="7"/>
        <v>442.70020278857828</v>
      </c>
    </row>
    <row r="82" spans="1:7" ht="22.2" customHeight="1" x14ac:dyDescent="0.25">
      <c r="A82" s="157"/>
      <c r="B82" s="39" t="s">
        <v>80</v>
      </c>
      <c r="C82" s="81" t="s">
        <v>67</v>
      </c>
      <c r="D82" s="84">
        <f>(D71+D75+D79)*0.2</f>
        <v>611.18854782266806</v>
      </c>
      <c r="E82" s="75">
        <f t="shared" si="19"/>
        <v>25.371160012371721</v>
      </c>
      <c r="F82" s="75">
        <f t="shared" si="19"/>
        <v>30.557565710644326</v>
      </c>
      <c r="G82" s="75">
        <f t="shared" si="7"/>
        <v>667.11727354568416</v>
      </c>
    </row>
    <row r="83" spans="1:7" ht="25.2" customHeight="1" thickBot="1" x14ac:dyDescent="0.3">
      <c r="A83" s="158"/>
      <c r="B83" s="77" t="s">
        <v>81</v>
      </c>
      <c r="C83" s="62" t="s">
        <v>119</v>
      </c>
      <c r="D83" s="79">
        <f>(D72+D76+D80)*0.2</f>
        <v>611.18877525270238</v>
      </c>
      <c r="E83" s="79">
        <f t="shared" si="19"/>
        <v>25.371157866805355</v>
      </c>
      <c r="F83" s="79">
        <f t="shared" si="19"/>
        <v>30.557565710644326</v>
      </c>
      <c r="G83" s="79">
        <f t="shared" si="7"/>
        <v>667.11749883015204</v>
      </c>
    </row>
    <row r="84" spans="1:7" ht="26.4" customHeight="1" x14ac:dyDescent="0.25">
      <c r="A84" s="159">
        <v>13</v>
      </c>
      <c r="B84" s="85" t="s">
        <v>82</v>
      </c>
      <c r="C84" s="86" t="s">
        <v>67</v>
      </c>
      <c r="D84" s="87">
        <f>D70+D74+D78+D81</f>
        <v>2320.5776328296115</v>
      </c>
      <c r="E84" s="88">
        <f>E70+E74+E78+E81</f>
        <v>152.22701822889505</v>
      </c>
      <c r="F84" s="87">
        <f>F70+F74+F78+F81</f>
        <v>183.39656567296313</v>
      </c>
      <c r="G84" s="87">
        <f t="shared" si="7"/>
        <v>2656.2012167314697</v>
      </c>
    </row>
    <row r="85" spans="1:7" ht="33.6" customHeight="1" x14ac:dyDescent="0.25">
      <c r="A85" s="160"/>
      <c r="B85" s="34" t="s">
        <v>83</v>
      </c>
      <c r="C85" s="89" t="s">
        <v>67</v>
      </c>
      <c r="D85" s="90">
        <f>D71+D75+D79+D82</f>
        <v>3667.1312869360086</v>
      </c>
      <c r="E85" s="91">
        <f t="shared" ref="E84:F86" si="20">E71+E75+E79+E82</f>
        <v>152.22696007423033</v>
      </c>
      <c r="F85" s="90">
        <f t="shared" si="20"/>
        <v>183.34539426386596</v>
      </c>
      <c r="G85" s="90">
        <f t="shared" si="7"/>
        <v>4002.7036412741045</v>
      </c>
    </row>
    <row r="86" spans="1:7" ht="31.8" customHeight="1" thickBot="1" x14ac:dyDescent="0.3">
      <c r="A86" s="161"/>
      <c r="B86" s="92" t="s">
        <v>84</v>
      </c>
      <c r="C86" s="93" t="s">
        <v>67</v>
      </c>
      <c r="D86" s="94">
        <f>D72+D76+D80+D83</f>
        <v>3667.1326515162141</v>
      </c>
      <c r="E86" s="95">
        <f t="shared" si="20"/>
        <v>152.22694720083211</v>
      </c>
      <c r="F86" s="94">
        <f t="shared" si="20"/>
        <v>183.34539426386596</v>
      </c>
      <c r="G86" s="94">
        <f t="shared" si="7"/>
        <v>4002.7049929809118</v>
      </c>
    </row>
    <row r="92" spans="1:7" ht="15.6" x14ac:dyDescent="0.3">
      <c r="B92" s="96" t="s">
        <v>85</v>
      </c>
      <c r="C92" s="96"/>
      <c r="D92" s="96"/>
    </row>
    <row r="93" spans="1:7" ht="15.6" x14ac:dyDescent="0.3">
      <c r="B93" s="96"/>
      <c r="C93" s="96"/>
      <c r="D93" s="96"/>
    </row>
    <row r="94" spans="1:7" ht="15.6" x14ac:dyDescent="0.3">
      <c r="B94" s="96"/>
      <c r="C94" s="96"/>
      <c r="D94" s="96"/>
    </row>
    <row r="95" spans="1:7" ht="15.6" x14ac:dyDescent="0.3">
      <c r="B95" s="96"/>
      <c r="C95" s="96"/>
      <c r="D95" s="96"/>
    </row>
    <row r="96" spans="1:7" ht="15.6" x14ac:dyDescent="0.3">
      <c r="B96" s="96"/>
      <c r="C96" s="96"/>
      <c r="D96" s="96"/>
    </row>
    <row r="99" spans="2:2" x14ac:dyDescent="0.25">
      <c r="B99" s="98" t="s">
        <v>87</v>
      </c>
    </row>
  </sheetData>
  <mergeCells count="9">
    <mergeCell ref="A77:A80"/>
    <mergeCell ref="A81:A83"/>
    <mergeCell ref="A84:A86"/>
    <mergeCell ref="A1:G1"/>
    <mergeCell ref="A58:A61"/>
    <mergeCell ref="A62:A63"/>
    <mergeCell ref="A64:A69"/>
    <mergeCell ref="A70:A72"/>
    <mergeCell ref="A73:A76"/>
  </mergeCells>
  <pageMargins left="0.51181102362204722" right="0.23622047244094491" top="0.19685039370078741" bottom="0" header="0.11811023622047245" footer="0"/>
  <pageSetup paperSize="9" scale="89" orientation="portrait" r:id="rId1"/>
  <headerFooter alignWithMargins="0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4"/>
  <sheetViews>
    <sheetView view="pageBreakPreview" zoomScale="112" zoomScaleNormal="106" zoomScaleSheetLayoutView="112" workbookViewId="0">
      <selection activeCell="L5" sqref="L5:L17"/>
    </sheetView>
  </sheetViews>
  <sheetFormatPr defaultRowHeight="13.2" x14ac:dyDescent="0.25"/>
  <cols>
    <col min="1" max="1" width="4.6640625" customWidth="1"/>
    <col min="2" max="2" width="47.5546875" customWidth="1"/>
    <col min="3" max="3" width="8.44140625" hidden="1" customWidth="1"/>
    <col min="4" max="4" width="13.6640625" hidden="1" customWidth="1"/>
    <col min="5" max="5" width="13.5546875" hidden="1" customWidth="1"/>
    <col min="6" max="6" width="13" hidden="1" customWidth="1"/>
    <col min="7" max="7" width="11.6640625" hidden="1" customWidth="1"/>
    <col min="8" max="8" width="15" hidden="1" customWidth="1"/>
    <col min="9" max="9" width="13.33203125" customWidth="1"/>
    <col min="10" max="10" width="12.77734375" customWidth="1"/>
    <col min="11" max="11" width="13.21875" hidden="1" customWidth="1"/>
    <col min="12" max="12" width="25.88671875" customWidth="1"/>
    <col min="13" max="13" width="2.44140625" customWidth="1"/>
    <col min="15" max="15" width="11.6640625" customWidth="1"/>
  </cols>
  <sheetData>
    <row r="1" spans="1:12" ht="30" customHeight="1" x14ac:dyDescent="0.25">
      <c r="A1" s="162" t="s">
        <v>125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2" ht="8.25" customHeight="1" thickBot="1" x14ac:dyDescent="0.3">
      <c r="A2" s="1"/>
      <c r="B2" s="2"/>
      <c r="C2" s="1"/>
      <c r="D2" s="1"/>
    </row>
    <row r="3" spans="1:12" ht="52.2" customHeight="1" thickBot="1" x14ac:dyDescent="0.3">
      <c r="A3" s="3" t="s">
        <v>0</v>
      </c>
      <c r="B3" s="4" t="s">
        <v>1</v>
      </c>
      <c r="C3" s="99" t="s">
        <v>2</v>
      </c>
      <c r="D3" s="4" t="s">
        <v>3</v>
      </c>
      <c r="E3" s="3" t="s">
        <v>4</v>
      </c>
      <c r="F3" s="3" t="s">
        <v>5</v>
      </c>
      <c r="G3" s="4" t="s">
        <v>88</v>
      </c>
      <c r="H3" s="5" t="s">
        <v>6</v>
      </c>
      <c r="I3" s="5" t="s">
        <v>121</v>
      </c>
      <c r="J3" s="5" t="s">
        <v>122</v>
      </c>
      <c r="K3" s="100" t="s">
        <v>89</v>
      </c>
      <c r="L3" s="5" t="s">
        <v>90</v>
      </c>
    </row>
    <row r="4" spans="1:12" ht="13.8" x14ac:dyDescent="0.3">
      <c r="A4" s="6">
        <v>1</v>
      </c>
      <c r="B4" s="7" t="s">
        <v>7</v>
      </c>
      <c r="C4" s="8" t="s">
        <v>8</v>
      </c>
      <c r="D4" s="9">
        <f>D5+D18+D19+D20+D21+D22+D23</f>
        <v>33685719.969999999</v>
      </c>
      <c r="E4" s="9">
        <f>E5+E18+E19+E20+E21+E22+E23</f>
        <v>1689559.54</v>
      </c>
      <c r="F4" s="9">
        <f>F5+F18+F19+F20+F21+F22+F23</f>
        <v>2861868.38</v>
      </c>
      <c r="G4" s="9">
        <f>G5+G18+G19+G20+G21+G22+G23</f>
        <v>430258.44</v>
      </c>
      <c r="H4" s="9">
        <f t="shared" ref="H4:H23" si="0">SUM(D4:G4)</f>
        <v>38667406.329999998</v>
      </c>
      <c r="I4" s="101">
        <f>I5+I18+I19+I20+I22+I23+I24+I21</f>
        <v>35023952.250000007</v>
      </c>
      <c r="J4" s="101">
        <v>33866284.100000001</v>
      </c>
      <c r="K4" s="102">
        <f>K5+K18+K19+K20+K22+K23</f>
        <v>23418024.778000001</v>
      </c>
      <c r="L4" s="103"/>
    </row>
    <row r="5" spans="1:12" ht="13.8" customHeight="1" x14ac:dyDescent="0.3">
      <c r="A5" s="10" t="s">
        <v>9</v>
      </c>
      <c r="B5" s="11" t="s">
        <v>10</v>
      </c>
      <c r="C5" s="12" t="s">
        <v>8</v>
      </c>
      <c r="D5" s="13">
        <f>D6+D10+D14</f>
        <v>26515207.399999999</v>
      </c>
      <c r="E5" s="13">
        <f>SUM(E6:E14)</f>
        <v>369263</v>
      </c>
      <c r="F5" s="13">
        <v>0</v>
      </c>
      <c r="G5" s="13">
        <v>0</v>
      </c>
      <c r="H5" s="13">
        <f t="shared" si="0"/>
        <v>26884470.399999999</v>
      </c>
      <c r="I5" s="101">
        <f t="shared" ref="I5" si="1">I6+I10+I14</f>
        <v>22801900.960000001</v>
      </c>
      <c r="J5" s="101">
        <v>22324330</v>
      </c>
      <c r="K5" s="102">
        <f>K6+K10+K14</f>
        <v>17395221.458000001</v>
      </c>
      <c r="L5" s="163" t="s">
        <v>117</v>
      </c>
    </row>
    <row r="6" spans="1:12" ht="13.8" x14ac:dyDescent="0.3">
      <c r="A6" s="10"/>
      <c r="B6" s="14" t="s">
        <v>11</v>
      </c>
      <c r="C6" s="15" t="s">
        <v>8</v>
      </c>
      <c r="D6" s="16">
        <f>SUM(D7:D9)</f>
        <v>22189373</v>
      </c>
      <c r="E6" s="16"/>
      <c r="F6" s="16"/>
      <c r="G6" s="16"/>
      <c r="H6" s="16">
        <f t="shared" si="0"/>
        <v>22189373</v>
      </c>
      <c r="I6" s="104">
        <v>18071520</v>
      </c>
      <c r="J6" s="104">
        <v>17681339</v>
      </c>
      <c r="K6" s="105">
        <f>K9+K8+K7</f>
        <v>14680165.030000001</v>
      </c>
      <c r="L6" s="164"/>
    </row>
    <row r="7" spans="1:12" ht="13.8" x14ac:dyDescent="0.3">
      <c r="A7" s="10"/>
      <c r="B7" s="17" t="s">
        <v>12</v>
      </c>
      <c r="C7" s="15"/>
      <c r="D7" s="18">
        <v>12638807</v>
      </c>
      <c r="E7" s="16"/>
      <c r="F7" s="16"/>
      <c r="G7" s="16"/>
      <c r="H7" s="16"/>
      <c r="I7" s="104">
        <v>11221814</v>
      </c>
      <c r="J7" s="104">
        <v>11061061</v>
      </c>
      <c r="K7" s="105">
        <v>11203087.4</v>
      </c>
      <c r="L7" s="164"/>
    </row>
    <row r="8" spans="1:12" ht="13.8" x14ac:dyDescent="0.3">
      <c r="A8" s="10"/>
      <c r="B8" s="17" t="s">
        <v>13</v>
      </c>
      <c r="C8" s="15"/>
      <c r="D8" s="18">
        <v>7951372</v>
      </c>
      <c r="E8" s="16"/>
      <c r="F8" s="16"/>
      <c r="G8" s="16"/>
      <c r="H8" s="16"/>
      <c r="I8" s="104">
        <v>6177399</v>
      </c>
      <c r="J8" s="104">
        <v>5991371</v>
      </c>
      <c r="K8" s="105">
        <v>3004559.35</v>
      </c>
      <c r="L8" s="164"/>
    </row>
    <row r="9" spans="1:12" ht="13.8" x14ac:dyDescent="0.3">
      <c r="A9" s="10"/>
      <c r="B9" s="17" t="s">
        <v>14</v>
      </c>
      <c r="C9" s="15"/>
      <c r="D9" s="18">
        <v>1599194</v>
      </c>
      <c r="E9" s="16"/>
      <c r="F9" s="16"/>
      <c r="G9" s="16"/>
      <c r="H9" s="16"/>
      <c r="I9" s="104">
        <v>672307</v>
      </c>
      <c r="J9" s="104">
        <v>628907</v>
      </c>
      <c r="K9" s="105">
        <v>472518.28</v>
      </c>
      <c r="L9" s="164"/>
    </row>
    <row r="10" spans="1:12" x14ac:dyDescent="0.25">
      <c r="A10" s="19"/>
      <c r="B10" s="14" t="s">
        <v>15</v>
      </c>
      <c r="C10" s="15" t="s">
        <v>8</v>
      </c>
      <c r="D10" s="16">
        <f>SUM(D11:D13)</f>
        <v>4325834.4000000004</v>
      </c>
      <c r="E10" s="16"/>
      <c r="F10" s="16"/>
      <c r="G10" s="16"/>
      <c r="H10" s="16">
        <f t="shared" si="0"/>
        <v>4325834.4000000004</v>
      </c>
      <c r="I10" s="104">
        <v>3451367</v>
      </c>
      <c r="J10" s="104">
        <v>3387601</v>
      </c>
      <c r="K10" s="105">
        <f>SUM(K11:K13)</f>
        <v>2375974.7880000002</v>
      </c>
      <c r="L10" s="164"/>
    </row>
    <row r="11" spans="1:12" x14ac:dyDescent="0.25">
      <c r="A11" s="19"/>
      <c r="B11" s="17" t="s">
        <v>12</v>
      </c>
      <c r="C11" s="15"/>
      <c r="D11" s="18">
        <v>3270420.4792195912</v>
      </c>
      <c r="E11" s="16"/>
      <c r="F11" s="16"/>
      <c r="G11" s="16"/>
      <c r="H11" s="16"/>
      <c r="I11" s="104">
        <v>2704126</v>
      </c>
      <c r="J11" s="104">
        <v>2665389</v>
      </c>
      <c r="K11" s="105">
        <v>1813212.118</v>
      </c>
      <c r="L11" s="164"/>
    </row>
    <row r="12" spans="1:12" x14ac:dyDescent="0.25">
      <c r="A12" s="19"/>
      <c r="B12" s="17" t="s">
        <v>13</v>
      </c>
      <c r="C12" s="15"/>
      <c r="D12" s="18">
        <v>931454.43487450446</v>
      </c>
      <c r="E12" s="16"/>
      <c r="F12" s="16"/>
      <c r="G12" s="16"/>
      <c r="H12" s="16"/>
      <c r="I12" s="104">
        <v>673898</v>
      </c>
      <c r="J12" s="104">
        <v>653604</v>
      </c>
      <c r="K12" s="105">
        <v>486285.9</v>
      </c>
      <c r="L12" s="164"/>
    </row>
    <row r="13" spans="1:12" x14ac:dyDescent="0.25">
      <c r="A13" s="19"/>
      <c r="B13" s="17" t="s">
        <v>14</v>
      </c>
      <c r="C13" s="15"/>
      <c r="D13" s="18">
        <v>123959.48590590386</v>
      </c>
      <c r="E13" s="16"/>
      <c r="F13" s="16"/>
      <c r="G13" s="16"/>
      <c r="H13" s="16"/>
      <c r="I13" s="104">
        <v>73343</v>
      </c>
      <c r="J13" s="104">
        <v>68608</v>
      </c>
      <c r="K13" s="105">
        <v>76476.77</v>
      </c>
      <c r="L13" s="164"/>
    </row>
    <row r="14" spans="1:12" ht="13.2" customHeight="1" x14ac:dyDescent="0.25">
      <c r="A14" s="19"/>
      <c r="B14" s="14" t="s">
        <v>16</v>
      </c>
      <c r="C14" s="12" t="s">
        <v>8</v>
      </c>
      <c r="D14" s="20"/>
      <c r="E14" s="16">
        <f>SUM(E15:E17)</f>
        <v>369263</v>
      </c>
      <c r="F14" s="20"/>
      <c r="G14" s="20"/>
      <c r="H14" s="20">
        <f t="shared" si="0"/>
        <v>369263</v>
      </c>
      <c r="I14" s="104">
        <v>1279013.96</v>
      </c>
      <c r="J14" s="104">
        <v>1255390</v>
      </c>
      <c r="K14" s="105">
        <f>SUM(K15:K17)</f>
        <v>339081.64</v>
      </c>
      <c r="L14" s="164"/>
    </row>
    <row r="15" spans="1:12" x14ac:dyDescent="0.25">
      <c r="A15" s="19"/>
      <c r="B15" s="17" t="s">
        <v>12</v>
      </c>
      <c r="C15" s="12"/>
      <c r="D15" s="20"/>
      <c r="E15" s="18">
        <v>279171</v>
      </c>
      <c r="F15" s="20"/>
      <c r="G15" s="20"/>
      <c r="H15" s="20"/>
      <c r="I15" s="104">
        <v>1002100.06</v>
      </c>
      <c r="J15" s="104">
        <v>987750</v>
      </c>
      <c r="K15" s="105">
        <v>258768.29</v>
      </c>
      <c r="L15" s="164"/>
    </row>
    <row r="16" spans="1:12" x14ac:dyDescent="0.25">
      <c r="A16" s="19"/>
      <c r="B16" s="17" t="s">
        <v>13</v>
      </c>
      <c r="C16" s="12"/>
      <c r="D16" s="20"/>
      <c r="E16" s="18">
        <v>79511</v>
      </c>
      <c r="F16" s="20"/>
      <c r="G16" s="20"/>
      <c r="H16" s="20"/>
      <c r="I16" s="104">
        <v>249734.48</v>
      </c>
      <c r="J16" s="104">
        <v>242215</v>
      </c>
      <c r="K16" s="105">
        <v>69399.149999999994</v>
      </c>
      <c r="L16" s="164"/>
    </row>
    <row r="17" spans="1:12" x14ac:dyDescent="0.25">
      <c r="A17" s="19"/>
      <c r="B17" s="17" t="s">
        <v>14</v>
      </c>
      <c r="C17" s="12"/>
      <c r="D17" s="20"/>
      <c r="E17" s="18">
        <v>10581</v>
      </c>
      <c r="F17" s="20"/>
      <c r="G17" s="20"/>
      <c r="H17" s="20"/>
      <c r="I17" s="104">
        <v>27179.452000000001</v>
      </c>
      <c r="J17" s="104">
        <v>25425</v>
      </c>
      <c r="K17" s="105">
        <v>10914.2</v>
      </c>
      <c r="L17" s="165"/>
    </row>
    <row r="18" spans="1:12" ht="42" customHeight="1" x14ac:dyDescent="0.3">
      <c r="A18" s="10" t="s">
        <v>17</v>
      </c>
      <c r="B18" s="11" t="s">
        <v>18</v>
      </c>
      <c r="C18" s="12" t="s">
        <v>8</v>
      </c>
      <c r="D18" s="13">
        <v>2126187.79</v>
      </c>
      <c r="E18" s="13"/>
      <c r="F18" s="13">
        <v>0</v>
      </c>
      <c r="G18" s="13"/>
      <c r="H18" s="13">
        <f t="shared" si="0"/>
        <v>2126187.79</v>
      </c>
      <c r="I18" s="106">
        <v>4286067.5599999996</v>
      </c>
      <c r="J18" s="106">
        <v>5526190.4800000004</v>
      </c>
      <c r="K18" s="102">
        <v>1694990.27</v>
      </c>
      <c r="L18" s="107" t="s">
        <v>123</v>
      </c>
    </row>
    <row r="19" spans="1:12" ht="30.6" x14ac:dyDescent="0.3">
      <c r="A19" s="10" t="s">
        <v>19</v>
      </c>
      <c r="B19" s="11" t="s">
        <v>20</v>
      </c>
      <c r="C19" s="12" t="s">
        <v>8</v>
      </c>
      <c r="D19" s="13">
        <v>176760.32000000001</v>
      </c>
      <c r="E19" s="13"/>
      <c r="F19" s="13">
        <v>0</v>
      </c>
      <c r="G19" s="13"/>
      <c r="H19" s="13">
        <f t="shared" si="0"/>
        <v>176760.32000000001</v>
      </c>
      <c r="I19" s="106">
        <v>126574.19</v>
      </c>
      <c r="J19" s="106">
        <v>117886.56</v>
      </c>
      <c r="K19" s="102">
        <v>180992.77</v>
      </c>
      <c r="L19" s="107" t="s">
        <v>91</v>
      </c>
    </row>
    <row r="20" spans="1:12" ht="36" customHeight="1" x14ac:dyDescent="0.3">
      <c r="A20" s="10" t="s">
        <v>21</v>
      </c>
      <c r="B20" s="11" t="s">
        <v>22</v>
      </c>
      <c r="C20" s="12" t="s">
        <v>8</v>
      </c>
      <c r="D20" s="13">
        <v>1178705</v>
      </c>
      <c r="E20" s="13">
        <v>160800</v>
      </c>
      <c r="F20" s="13">
        <v>705300</v>
      </c>
      <c r="G20" s="13">
        <v>22080</v>
      </c>
      <c r="H20" s="13">
        <f t="shared" si="0"/>
        <v>2066885</v>
      </c>
      <c r="I20" s="106">
        <v>2396295</v>
      </c>
      <c r="J20" s="106">
        <v>406750</v>
      </c>
      <c r="K20" s="102">
        <v>608730</v>
      </c>
      <c r="L20" s="107" t="s">
        <v>92</v>
      </c>
    </row>
    <row r="21" spans="1:12" ht="31.2" customHeight="1" x14ac:dyDescent="0.3">
      <c r="A21" s="10">
        <v>1.5</v>
      </c>
      <c r="B21" s="11" t="s">
        <v>23</v>
      </c>
      <c r="C21" s="12" t="s">
        <v>8</v>
      </c>
      <c r="D21" s="13">
        <v>151639.04000000001</v>
      </c>
      <c r="E21" s="13"/>
      <c r="F21" s="13">
        <v>0</v>
      </c>
      <c r="G21" s="13">
        <v>24643.38</v>
      </c>
      <c r="H21" s="13">
        <f t="shared" si="0"/>
        <v>176282.42</v>
      </c>
      <c r="I21" s="106">
        <v>367680.52</v>
      </c>
      <c r="J21" s="106">
        <v>448495</v>
      </c>
      <c r="K21" s="102">
        <v>219800.36</v>
      </c>
      <c r="L21" s="107" t="s">
        <v>93</v>
      </c>
    </row>
    <row r="22" spans="1:12" s="22" customFormat="1" ht="33" customHeight="1" x14ac:dyDescent="0.3">
      <c r="A22" s="10" t="s">
        <v>24</v>
      </c>
      <c r="B22" s="11" t="s">
        <v>25</v>
      </c>
      <c r="C22" s="21" t="s">
        <v>8</v>
      </c>
      <c r="D22" s="13">
        <v>2899361</v>
      </c>
      <c r="E22" s="13">
        <v>950407</v>
      </c>
      <c r="F22" s="13">
        <v>1767679</v>
      </c>
      <c r="G22" s="13">
        <v>314373</v>
      </c>
      <c r="H22" s="13">
        <f t="shared" si="0"/>
        <v>5931820</v>
      </c>
      <c r="I22" s="106">
        <v>4019080</v>
      </c>
      <c r="J22" s="106">
        <v>4019080</v>
      </c>
      <c r="K22" s="108">
        <v>2900074</v>
      </c>
      <c r="L22" s="109" t="s">
        <v>94</v>
      </c>
    </row>
    <row r="23" spans="1:12" ht="13.8" x14ac:dyDescent="0.3">
      <c r="A23" s="10" t="s">
        <v>26</v>
      </c>
      <c r="B23" s="11" t="s">
        <v>27</v>
      </c>
      <c r="C23" s="21" t="s">
        <v>8</v>
      </c>
      <c r="D23" s="13">
        <f>D22*0.22</f>
        <v>637859.42000000004</v>
      </c>
      <c r="E23" s="13">
        <f t="shared" ref="E23:G23" si="2">E22*0.22</f>
        <v>209089.54</v>
      </c>
      <c r="F23" s="13">
        <f t="shared" si="2"/>
        <v>388889.38</v>
      </c>
      <c r="G23" s="13">
        <f t="shared" si="2"/>
        <v>69162.06</v>
      </c>
      <c r="H23" s="13">
        <f t="shared" si="0"/>
        <v>1305000.4000000001</v>
      </c>
      <c r="I23" s="101">
        <v>884197.6</v>
      </c>
      <c r="J23" s="101">
        <v>884197.6</v>
      </c>
      <c r="K23" s="102">
        <v>638016.28</v>
      </c>
      <c r="L23" s="109" t="s">
        <v>95</v>
      </c>
    </row>
    <row r="24" spans="1:12" ht="20.399999999999999" x14ac:dyDescent="0.3">
      <c r="A24" s="10" t="s">
        <v>28</v>
      </c>
      <c r="B24" s="11" t="s">
        <v>29</v>
      </c>
      <c r="C24" s="21"/>
      <c r="D24" s="13"/>
      <c r="E24" s="13"/>
      <c r="F24" s="13"/>
      <c r="G24" s="13"/>
      <c r="H24" s="13"/>
      <c r="I24" s="110">
        <v>142156.42000000001</v>
      </c>
      <c r="J24" s="110">
        <v>139354.46</v>
      </c>
      <c r="K24" s="111"/>
      <c r="L24" s="109" t="s">
        <v>96</v>
      </c>
    </row>
    <row r="25" spans="1:12" hidden="1" x14ac:dyDescent="0.25">
      <c r="A25" s="19"/>
      <c r="B25" s="23" t="s">
        <v>30</v>
      </c>
      <c r="C25" s="15"/>
      <c r="D25" s="24">
        <f>D4/$H$4</f>
        <v>0.87116574829238103</v>
      </c>
      <c r="E25" s="24">
        <f>E4/$H$4</f>
        <v>4.3694669499701098E-2</v>
      </c>
      <c r="F25" s="24">
        <f>F4/$H$4</f>
        <v>7.4012421613591062E-2</v>
      </c>
      <c r="G25" s="24">
        <f>G4/$H$4</f>
        <v>1.1127160594326835E-2</v>
      </c>
      <c r="H25" s="112">
        <f>SUM(D25:G25)</f>
        <v>1</v>
      </c>
      <c r="I25" s="24"/>
      <c r="J25" s="24"/>
      <c r="K25" s="113">
        <f t="shared" ref="K25:K39" si="3">SUM(F25:H25)</f>
        <v>1.085139582207918</v>
      </c>
      <c r="L25" s="24"/>
    </row>
    <row r="26" spans="1:12" x14ac:dyDescent="0.25">
      <c r="A26" s="19"/>
      <c r="B26" s="14"/>
      <c r="C26" s="15"/>
      <c r="D26" s="24"/>
      <c r="E26" s="24"/>
      <c r="F26" s="24"/>
      <c r="G26" s="24"/>
      <c r="H26" s="24"/>
      <c r="I26" s="24"/>
      <c r="J26" s="24"/>
      <c r="K26" s="113"/>
      <c r="L26" s="24"/>
    </row>
    <row r="27" spans="1:12" ht="14.4" x14ac:dyDescent="0.3">
      <c r="A27" s="25">
        <v>2</v>
      </c>
      <c r="B27" s="26" t="s">
        <v>31</v>
      </c>
      <c r="C27" s="27" t="s">
        <v>8</v>
      </c>
      <c r="D27" s="28">
        <f>SUM(D28:D32)</f>
        <v>1832356.2666082096</v>
      </c>
      <c r="E27" s="28">
        <f>SUM(E28:E32)</f>
        <v>91904.67099066978</v>
      </c>
      <c r="F27" s="28">
        <f>SUM(F28:F32)</f>
        <v>155673.15957536545</v>
      </c>
      <c r="G27" s="28">
        <f>SUM(G28:G32)</f>
        <v>23404.182825755182</v>
      </c>
      <c r="H27" s="28">
        <f>SUM(H28:H32)</f>
        <v>2103338.2800000003</v>
      </c>
      <c r="I27" s="114">
        <f t="shared" ref="I27" si="4">SUM(I28:I32)</f>
        <v>1007972.49</v>
      </c>
      <c r="J27" s="114">
        <v>849132</v>
      </c>
      <c r="K27" s="115">
        <f>SUM(K28:K32)</f>
        <v>636947.92000000004</v>
      </c>
      <c r="L27" s="114"/>
    </row>
    <row r="28" spans="1:12" ht="13.8" x14ac:dyDescent="0.3">
      <c r="A28" s="30"/>
      <c r="B28" s="23" t="s">
        <v>32</v>
      </c>
      <c r="C28" s="27" t="s">
        <v>8</v>
      </c>
      <c r="D28" s="31">
        <f>$H$28*D25</f>
        <v>1286079.3438945864</v>
      </c>
      <c r="E28" s="31">
        <f>$H$28*E25</f>
        <v>64505.304521001737</v>
      </c>
      <c r="F28" s="31">
        <f>$H$28*F25</f>
        <v>109262.61370518254</v>
      </c>
      <c r="G28" s="31">
        <f>$H$28*G25</f>
        <v>16426.737879229255</v>
      </c>
      <c r="H28" s="32">
        <v>1476274</v>
      </c>
      <c r="I28" s="84">
        <v>498141</v>
      </c>
      <c r="J28" s="84">
        <v>524229</v>
      </c>
      <c r="K28" s="116">
        <v>444008.29</v>
      </c>
      <c r="L28" s="109" t="s">
        <v>97</v>
      </c>
    </row>
    <row r="29" spans="1:12" ht="26.4" x14ac:dyDescent="0.3">
      <c r="A29" s="10"/>
      <c r="B29" s="23" t="s">
        <v>33</v>
      </c>
      <c r="C29" s="33" t="s">
        <v>8</v>
      </c>
      <c r="D29" s="31">
        <f>D28*0.22</f>
        <v>282937.45565680903</v>
      </c>
      <c r="E29" s="31">
        <f t="shared" ref="E29:G29" si="5">E28*0.22</f>
        <v>14191.166994620382</v>
      </c>
      <c r="F29" s="31">
        <f t="shared" si="5"/>
        <v>24037.77501514016</v>
      </c>
      <c r="G29" s="31">
        <f t="shared" si="5"/>
        <v>3613.8823334304361</v>
      </c>
      <c r="H29" s="31">
        <f>SUM(D29:G29)</f>
        <v>324780.28000000009</v>
      </c>
      <c r="I29" s="84">
        <v>109591.02</v>
      </c>
      <c r="J29" s="84">
        <v>115330</v>
      </c>
      <c r="K29" s="116">
        <v>97681.3</v>
      </c>
      <c r="L29" s="109" t="s">
        <v>95</v>
      </c>
    </row>
    <row r="30" spans="1:12" ht="26.4" x14ac:dyDescent="0.3">
      <c r="A30" s="10"/>
      <c r="B30" s="23" t="s">
        <v>98</v>
      </c>
      <c r="C30" s="33" t="s">
        <v>8</v>
      </c>
      <c r="D30" s="31">
        <f>$H$30*D25</f>
        <v>134019.2675515516</v>
      </c>
      <c r="E30" s="31">
        <f>$H$30*E25</f>
        <v>6721.9442611645172</v>
      </c>
      <c r="F30" s="31">
        <f>$H$30*F25</f>
        <v>11385.996928613235</v>
      </c>
      <c r="G30" s="31">
        <f>$H$30*G25</f>
        <v>1711.7912586706459</v>
      </c>
      <c r="H30" s="31">
        <v>153839</v>
      </c>
      <c r="I30" s="84">
        <v>310670</v>
      </c>
      <c r="J30" s="84">
        <v>123975</v>
      </c>
      <c r="K30" s="116"/>
      <c r="L30" s="163" t="s">
        <v>124</v>
      </c>
    </row>
    <row r="31" spans="1:12" ht="13.8" x14ac:dyDescent="0.3">
      <c r="A31" s="10"/>
      <c r="B31" s="23" t="s">
        <v>35</v>
      </c>
      <c r="C31" s="27" t="s">
        <v>8</v>
      </c>
      <c r="D31" s="31">
        <f>$H$31*D25</f>
        <v>47216.312391698761</v>
      </c>
      <c r="E31" s="31">
        <f>$H$31*E25</f>
        <v>2368.2073922142999</v>
      </c>
      <c r="F31" s="31">
        <f>$H$31*F25</f>
        <v>4011.3992390350218</v>
      </c>
      <c r="G31" s="31">
        <f>$H$31*G25</f>
        <v>603.08097705192017</v>
      </c>
      <c r="H31" s="32">
        <v>54199</v>
      </c>
      <c r="I31" s="117">
        <v>13375.97</v>
      </c>
      <c r="J31" s="117">
        <v>12335</v>
      </c>
      <c r="K31" s="118">
        <v>29012.68</v>
      </c>
      <c r="L31" s="164"/>
    </row>
    <row r="32" spans="1:12" ht="27" customHeight="1" x14ac:dyDescent="0.3">
      <c r="A32" s="10"/>
      <c r="B32" s="23" t="s">
        <v>36</v>
      </c>
      <c r="C32" s="33" t="s">
        <v>8</v>
      </c>
      <c r="D32" s="31">
        <f>$H$32*D25</f>
        <v>82103.887113563746</v>
      </c>
      <c r="E32" s="31">
        <f>$H$32*E25</f>
        <v>4118.0478216688298</v>
      </c>
      <c r="F32" s="31">
        <f>$H$32*F25</f>
        <v>6975.3746873945029</v>
      </c>
      <c r="G32" s="31">
        <f>$H$32*G25</f>
        <v>1048.6903773729268</v>
      </c>
      <c r="H32" s="31">
        <v>94246</v>
      </c>
      <c r="I32" s="84">
        <v>76194.5</v>
      </c>
      <c r="J32" s="84">
        <v>73263</v>
      </c>
      <c r="K32" s="116">
        <v>66245.649999999994</v>
      </c>
      <c r="L32" s="165"/>
    </row>
    <row r="33" spans="1:12" ht="13.8" x14ac:dyDescent="0.3">
      <c r="A33" s="10"/>
      <c r="B33" s="23"/>
      <c r="C33" s="27"/>
      <c r="D33" s="31"/>
      <c r="E33" s="31"/>
      <c r="F33" s="31"/>
      <c r="G33" s="31"/>
      <c r="H33" s="31"/>
      <c r="I33" s="84"/>
      <c r="J33" s="84"/>
      <c r="K33" s="116"/>
      <c r="L33" s="84"/>
    </row>
    <row r="34" spans="1:12" ht="14.4" hidden="1" x14ac:dyDescent="0.3">
      <c r="A34" s="25" t="s">
        <v>100</v>
      </c>
      <c r="B34" s="26" t="s">
        <v>101</v>
      </c>
      <c r="C34" s="37" t="s">
        <v>8</v>
      </c>
      <c r="D34" s="28">
        <f>SUM(D35:D35)</f>
        <v>218851.64578876708</v>
      </c>
      <c r="E34" s="28">
        <f>SUM(E35:E35)</f>
        <v>10976.843787706412</v>
      </c>
      <c r="F34" s="28">
        <f>SUM(F35:F35)</f>
        <v>18593.178520501504</v>
      </c>
      <c r="G34" s="28">
        <f t="shared" ref="G34" si="6">SUM(G35:G35)</f>
        <v>2795.3319030250045</v>
      </c>
      <c r="H34" s="13">
        <f>SUM(D34:G34)</f>
        <v>251217</v>
      </c>
      <c r="I34" s="13">
        <f t="shared" ref="I34" si="7">SUM(I35)</f>
        <v>0</v>
      </c>
      <c r="J34" s="13"/>
      <c r="K34" s="111">
        <f>SUM(K35)</f>
        <v>53746</v>
      </c>
      <c r="L34" s="13"/>
    </row>
    <row r="35" spans="1:12" ht="36.75" hidden="1" customHeight="1" x14ac:dyDescent="0.25">
      <c r="A35" s="25"/>
      <c r="B35" s="23" t="s">
        <v>102</v>
      </c>
      <c r="C35" s="33" t="s">
        <v>8</v>
      </c>
      <c r="D35" s="31">
        <f>$H$35*D25</f>
        <v>218851.64578876708</v>
      </c>
      <c r="E35" s="31">
        <f>$H$35*E25</f>
        <v>10976.843787706412</v>
      </c>
      <c r="F35" s="31">
        <f>$H$35*F25</f>
        <v>18593.178520501504</v>
      </c>
      <c r="G35" s="31">
        <f>$H$35*G25</f>
        <v>2795.3319030250045</v>
      </c>
      <c r="H35" s="31">
        <v>251217</v>
      </c>
      <c r="I35" s="84"/>
      <c r="J35" s="84"/>
      <c r="K35" s="116">
        <v>53746</v>
      </c>
      <c r="L35" s="107"/>
    </row>
    <row r="36" spans="1:12" ht="13.8" x14ac:dyDescent="0.3">
      <c r="A36" s="10"/>
      <c r="B36" s="23"/>
      <c r="C36" s="27"/>
      <c r="D36" s="31"/>
      <c r="E36" s="31"/>
      <c r="F36" s="31"/>
      <c r="G36" s="31"/>
      <c r="H36" s="31"/>
      <c r="I36" s="84"/>
      <c r="J36" s="84"/>
      <c r="K36" s="116"/>
      <c r="L36" s="107"/>
    </row>
    <row r="37" spans="1:12" ht="17.25" customHeight="1" x14ac:dyDescent="0.3">
      <c r="A37" s="10"/>
      <c r="B37" s="34" t="s">
        <v>103</v>
      </c>
      <c r="C37" s="27"/>
      <c r="D37" s="35">
        <f t="shared" ref="D37:K37" si="8">D4+D27+D34</f>
        <v>35736927.882396974</v>
      </c>
      <c r="E37" s="35">
        <f t="shared" si="8"/>
        <v>1792441.0547783764</v>
      </c>
      <c r="F37" s="35">
        <f t="shared" si="8"/>
        <v>3036134.718095867</v>
      </c>
      <c r="G37" s="35">
        <f t="shared" si="8"/>
        <v>456457.95472878014</v>
      </c>
      <c r="H37" s="35">
        <f t="shared" si="8"/>
        <v>41021961.609999999</v>
      </c>
      <c r="I37" s="119">
        <f t="shared" si="8"/>
        <v>36031924.74000001</v>
      </c>
      <c r="J37" s="119">
        <f t="shared" si="8"/>
        <v>34715416.100000001</v>
      </c>
      <c r="K37" s="119">
        <f t="shared" si="8"/>
        <v>24108718.698000003</v>
      </c>
      <c r="L37" s="107"/>
    </row>
    <row r="38" spans="1:12" ht="13.8" x14ac:dyDescent="0.3">
      <c r="A38" s="10"/>
      <c r="B38" s="23"/>
      <c r="C38" s="27"/>
      <c r="D38" s="31"/>
      <c r="E38" s="31"/>
      <c r="F38" s="31"/>
      <c r="G38" s="31"/>
      <c r="H38" s="31"/>
      <c r="I38" s="84"/>
      <c r="J38" s="84"/>
      <c r="K38" s="116"/>
      <c r="L38" s="84"/>
    </row>
    <row r="39" spans="1:12" ht="26.4" hidden="1" x14ac:dyDescent="0.3">
      <c r="A39" s="10"/>
      <c r="B39" s="23" t="s">
        <v>104</v>
      </c>
      <c r="C39" s="15"/>
      <c r="D39" s="36">
        <f>D25</f>
        <v>0.87116574829238103</v>
      </c>
      <c r="E39" s="36">
        <f>E25</f>
        <v>4.3694669499701098E-2</v>
      </c>
      <c r="F39" s="36">
        <f>F25</f>
        <v>7.4012421613591062E-2</v>
      </c>
      <c r="G39" s="36">
        <f>G25</f>
        <v>1.1127160594326835E-2</v>
      </c>
      <c r="H39" s="36">
        <f>SUM(D39:G39)</f>
        <v>1</v>
      </c>
      <c r="I39" s="36"/>
      <c r="J39" s="36"/>
      <c r="K39" s="120">
        <f t="shared" si="3"/>
        <v>1.085139582207918</v>
      </c>
      <c r="L39" s="36"/>
    </row>
    <row r="40" spans="1:12" ht="14.4" x14ac:dyDescent="0.3">
      <c r="A40" s="25"/>
      <c r="B40" s="26"/>
      <c r="C40" s="37"/>
      <c r="D40" s="28"/>
      <c r="E40" s="28"/>
      <c r="F40" s="28"/>
      <c r="G40" s="28"/>
      <c r="H40" s="28"/>
      <c r="I40" s="114"/>
      <c r="J40" s="114"/>
      <c r="K40" s="115"/>
      <c r="L40" s="114"/>
    </row>
    <row r="41" spans="1:12" ht="14.4" x14ac:dyDescent="0.3">
      <c r="A41" s="25">
        <v>4</v>
      </c>
      <c r="B41" s="26" t="s">
        <v>39</v>
      </c>
      <c r="C41" s="37" t="s">
        <v>8</v>
      </c>
      <c r="D41" s="28">
        <f t="shared" ref="D41:K41" si="9">SUM(D42:D57)</f>
        <v>2313073.2798911044</v>
      </c>
      <c r="E41" s="28">
        <f t="shared" si="9"/>
        <v>116015.77850316338</v>
      </c>
      <c r="F41" s="28">
        <f t="shared" si="9"/>
        <v>196513.87253229733</v>
      </c>
      <c r="G41" s="28">
        <f t="shared" si="9"/>
        <v>29544.249073434017</v>
      </c>
      <c r="H41" s="28">
        <f t="shared" si="9"/>
        <v>2655147.1799999997</v>
      </c>
      <c r="I41" s="114">
        <f>SUM(I42:I57)</f>
        <v>2212964.79</v>
      </c>
      <c r="J41" s="114">
        <v>2433109</v>
      </c>
      <c r="K41" s="115">
        <f t="shared" si="9"/>
        <v>2104749.59</v>
      </c>
      <c r="L41" s="114"/>
    </row>
    <row r="42" spans="1:12" ht="26.4" x14ac:dyDescent="0.25">
      <c r="A42" s="25"/>
      <c r="B42" s="23" t="s">
        <v>40</v>
      </c>
      <c r="C42" s="27" t="s">
        <v>8</v>
      </c>
      <c r="D42" s="31">
        <f>$H$42*D39</f>
        <v>1638679.3246871862</v>
      </c>
      <c r="E42" s="31">
        <f t="shared" ref="E42:G42" si="10">$H$42*E39</f>
        <v>82190.503527658264</v>
      </c>
      <c r="F42" s="31">
        <f t="shared" si="10"/>
        <v>139218.77129117545</v>
      </c>
      <c r="G42" s="31">
        <f t="shared" si="10"/>
        <v>20930.400493980069</v>
      </c>
      <c r="H42" s="31">
        <v>1881019</v>
      </c>
      <c r="I42" s="84">
        <v>1505955</v>
      </c>
      <c r="J42" s="84">
        <v>1643670</v>
      </c>
      <c r="K42" s="116">
        <v>1388454.27</v>
      </c>
      <c r="L42" s="155" t="s">
        <v>97</v>
      </c>
    </row>
    <row r="43" spans="1:12" ht="33" customHeight="1" x14ac:dyDescent="0.25">
      <c r="A43" s="25"/>
      <c r="B43" s="23" t="s">
        <v>41</v>
      </c>
      <c r="C43" s="27" t="s">
        <v>8</v>
      </c>
      <c r="D43" s="31">
        <f>D42*0.22</f>
        <v>360509.45143118093</v>
      </c>
      <c r="E43" s="31">
        <f t="shared" ref="E43:G43" si="11">E42*0.22</f>
        <v>18081.910776084816</v>
      </c>
      <c r="F43" s="31">
        <f t="shared" si="11"/>
        <v>30628.1296840586</v>
      </c>
      <c r="G43" s="31">
        <f t="shared" si="11"/>
        <v>4604.6881086756148</v>
      </c>
      <c r="H43" s="31">
        <f>SUM(D43:G43)</f>
        <v>413824.17999999993</v>
      </c>
      <c r="I43" s="84">
        <v>331310.09999999998</v>
      </c>
      <c r="J43" s="84">
        <v>361607</v>
      </c>
      <c r="K43" s="116">
        <v>305459.94</v>
      </c>
      <c r="L43" s="109" t="s">
        <v>95</v>
      </c>
    </row>
    <row r="44" spans="1:12" ht="13.8" customHeight="1" x14ac:dyDescent="0.25">
      <c r="A44" s="25"/>
      <c r="B44" s="23" t="s">
        <v>42</v>
      </c>
      <c r="C44" s="27" t="s">
        <v>8</v>
      </c>
      <c r="D44" s="31">
        <f>$H$44*D39</f>
        <v>695.19026713732001</v>
      </c>
      <c r="E44" s="31">
        <f t="shared" ref="E44:G44" si="12">$H$44*E39</f>
        <v>34.868346260761477</v>
      </c>
      <c r="F44" s="31">
        <f t="shared" si="12"/>
        <v>59.061912447645668</v>
      </c>
      <c r="G44" s="31">
        <f t="shared" si="12"/>
        <v>8.8794741542728133</v>
      </c>
      <c r="H44" s="32">
        <v>798</v>
      </c>
      <c r="I44" s="117">
        <v>21796.5</v>
      </c>
      <c r="J44" s="117">
        <v>4295</v>
      </c>
      <c r="K44" s="118">
        <v>1966.83</v>
      </c>
      <c r="L44" s="163" t="s">
        <v>99</v>
      </c>
    </row>
    <row r="45" spans="1:12" ht="13.8" x14ac:dyDescent="0.25">
      <c r="A45" s="25"/>
      <c r="B45" s="23" t="s">
        <v>43</v>
      </c>
      <c r="C45" s="27" t="s">
        <v>8</v>
      </c>
      <c r="D45" s="31">
        <f>$H$45*D39</f>
        <v>43958.152493085254</v>
      </c>
      <c r="E45" s="31">
        <f t="shared" ref="E45:G45" si="13">$H$45*E39</f>
        <v>2204.7893282854179</v>
      </c>
      <c r="F45" s="31">
        <f t="shared" si="13"/>
        <v>3734.5927822001913</v>
      </c>
      <c r="G45" s="31">
        <f t="shared" si="13"/>
        <v>561.46539642913774</v>
      </c>
      <c r="H45" s="32">
        <v>50459</v>
      </c>
      <c r="I45" s="117"/>
      <c r="J45" s="117"/>
      <c r="K45" s="118">
        <v>139115.74</v>
      </c>
      <c r="L45" s="164"/>
    </row>
    <row r="46" spans="1:12" ht="13.8" x14ac:dyDescent="0.25">
      <c r="A46" s="25"/>
      <c r="B46" s="23" t="s">
        <v>44</v>
      </c>
      <c r="C46" s="27" t="s">
        <v>8</v>
      </c>
      <c r="D46" s="31">
        <f>$H$46*D39</f>
        <v>4295.7183048297311</v>
      </c>
      <c r="E46" s="31">
        <f t="shared" ref="E46:G46" si="14">$H$46*E39</f>
        <v>215.45841530302613</v>
      </c>
      <c r="F46" s="31">
        <f t="shared" si="14"/>
        <v>364.95525097661755</v>
      </c>
      <c r="G46" s="31">
        <f t="shared" si="14"/>
        <v>54.868028890625624</v>
      </c>
      <c r="H46" s="32">
        <v>4931</v>
      </c>
      <c r="I46" s="117">
        <v>9620.5</v>
      </c>
      <c r="J46" s="117"/>
      <c r="K46" s="118">
        <v>4875.41</v>
      </c>
      <c r="L46" s="164"/>
    </row>
    <row r="47" spans="1:12" ht="39.6" x14ac:dyDescent="0.25">
      <c r="A47" s="25"/>
      <c r="B47" s="23" t="s">
        <v>46</v>
      </c>
      <c r="C47" s="27"/>
      <c r="D47" s="31"/>
      <c r="E47" s="31"/>
      <c r="F47" s="31"/>
      <c r="G47" s="31"/>
      <c r="H47" s="32"/>
      <c r="I47" s="84">
        <v>20978.45</v>
      </c>
      <c r="J47" s="84">
        <v>3550</v>
      </c>
      <c r="K47" s="116"/>
      <c r="L47" s="164"/>
    </row>
    <row r="48" spans="1:12" ht="13.8" x14ac:dyDescent="0.25">
      <c r="A48" s="25"/>
      <c r="B48" s="23" t="s">
        <v>105</v>
      </c>
      <c r="C48" s="27"/>
      <c r="D48" s="31"/>
      <c r="E48" s="31"/>
      <c r="F48" s="31"/>
      <c r="G48" s="31"/>
      <c r="H48" s="32"/>
      <c r="I48" s="84">
        <v>1100.74</v>
      </c>
      <c r="J48" s="84">
        <v>5515</v>
      </c>
      <c r="K48" s="116"/>
      <c r="L48" s="164"/>
    </row>
    <row r="49" spans="1:12" ht="13.8" customHeight="1" x14ac:dyDescent="0.25">
      <c r="A49" s="25"/>
      <c r="B49" s="23" t="s">
        <v>45</v>
      </c>
      <c r="C49" s="27" t="s">
        <v>8</v>
      </c>
      <c r="D49" s="31">
        <f>$H$49*D39</f>
        <v>5760.147927709223</v>
      </c>
      <c r="E49" s="31">
        <f>$H$49*E39</f>
        <v>288.90915473202364</v>
      </c>
      <c r="F49" s="31">
        <f>$H$49*F39</f>
        <v>489.37013170906408</v>
      </c>
      <c r="G49" s="31">
        <f>$H$49*G39</f>
        <v>73.572785849689026</v>
      </c>
      <c r="H49" s="32">
        <v>6612</v>
      </c>
      <c r="I49" s="117">
        <v>53155</v>
      </c>
      <c r="J49" s="117">
        <v>121194</v>
      </c>
      <c r="K49" s="118">
        <v>15645.48</v>
      </c>
      <c r="L49" s="164"/>
    </row>
    <row r="50" spans="1:12" ht="13.8" x14ac:dyDescent="0.25">
      <c r="A50" s="25"/>
      <c r="B50" s="23" t="s">
        <v>48</v>
      </c>
      <c r="C50" s="27" t="s">
        <v>8</v>
      </c>
      <c r="D50" s="31">
        <f>$H$50*D39</f>
        <v>23048.432202571526</v>
      </c>
      <c r="E50" s="31">
        <f>$H$50*E39</f>
        <v>1156.0298709535919</v>
      </c>
      <c r="F50" s="31">
        <f>$H$50*F39</f>
        <v>1958.1466386307786</v>
      </c>
      <c r="G50" s="31">
        <f>$H$50*G39</f>
        <v>294.39128784410508</v>
      </c>
      <c r="H50" s="32">
        <v>26457</v>
      </c>
      <c r="I50" s="117">
        <v>27013.5</v>
      </c>
      <c r="J50" s="117">
        <v>20200</v>
      </c>
      <c r="K50" s="118">
        <v>26840.9</v>
      </c>
      <c r="L50" s="164"/>
    </row>
    <row r="51" spans="1:12" ht="13.8" x14ac:dyDescent="0.25">
      <c r="A51" s="25"/>
      <c r="B51" s="23" t="s">
        <v>49</v>
      </c>
      <c r="C51" s="27" t="s">
        <v>8</v>
      </c>
      <c r="D51" s="31">
        <f>$H$51*D39</f>
        <v>16909.327174355116</v>
      </c>
      <c r="E51" s="31">
        <f>$H$51*E39</f>
        <v>848.11353498919834</v>
      </c>
      <c r="F51" s="31">
        <f>$H$51*F39</f>
        <v>1436.5811035198026</v>
      </c>
      <c r="G51" s="31">
        <f>$H$51*G39</f>
        <v>215.97818713588387</v>
      </c>
      <c r="H51" s="32">
        <v>19410</v>
      </c>
      <c r="I51" s="117">
        <v>34805.5</v>
      </c>
      <c r="J51" s="117">
        <v>19970</v>
      </c>
      <c r="K51" s="118">
        <v>17689.82</v>
      </c>
      <c r="L51" s="164"/>
    </row>
    <row r="52" spans="1:12" ht="13.8" customHeight="1" x14ac:dyDescent="0.25">
      <c r="A52" s="25"/>
      <c r="B52" s="23" t="s">
        <v>50</v>
      </c>
      <c r="C52" s="27" t="s">
        <v>8</v>
      </c>
      <c r="D52" s="31">
        <f>$H$52*D39</f>
        <v>13195.547589384696</v>
      </c>
      <c r="E52" s="31">
        <f>$H$52*E39</f>
        <v>661.84315891197252</v>
      </c>
      <c r="F52" s="31">
        <f>$H$52*F39</f>
        <v>1121.0661501810639</v>
      </c>
      <c r="G52" s="31">
        <f>$H$52*G39</f>
        <v>168.54310152226856</v>
      </c>
      <c r="H52" s="32">
        <v>15147</v>
      </c>
      <c r="I52" s="117">
        <v>39914</v>
      </c>
      <c r="J52" s="117">
        <v>24536</v>
      </c>
      <c r="K52" s="118">
        <v>17565.8</v>
      </c>
      <c r="L52" s="164"/>
    </row>
    <row r="53" spans="1:12" ht="18.75" customHeight="1" x14ac:dyDescent="0.25">
      <c r="A53" s="25"/>
      <c r="B53" s="23" t="s">
        <v>51</v>
      </c>
      <c r="C53" s="33" t="s">
        <v>8</v>
      </c>
      <c r="D53" s="31">
        <f>$H$53*D39</f>
        <v>4469.080288739915</v>
      </c>
      <c r="E53" s="31">
        <f>$H$53*E39</f>
        <v>224.15365453346664</v>
      </c>
      <c r="F53" s="31">
        <f>$H$53*F39</f>
        <v>379.68372287772212</v>
      </c>
      <c r="G53" s="31">
        <f>$H$53*G39</f>
        <v>57.08233384889666</v>
      </c>
      <c r="H53" s="31">
        <v>5130</v>
      </c>
      <c r="I53" s="84">
        <v>6797.5</v>
      </c>
      <c r="J53" s="84">
        <v>500</v>
      </c>
      <c r="K53" s="116">
        <v>3527.69</v>
      </c>
      <c r="L53" s="164"/>
    </row>
    <row r="54" spans="1:12" ht="13.8" x14ac:dyDescent="0.25">
      <c r="A54" s="25"/>
      <c r="B54" s="23" t="s">
        <v>52</v>
      </c>
      <c r="C54" s="27" t="s">
        <v>8</v>
      </c>
      <c r="D54" s="31">
        <f>$H$54*D39</f>
        <v>12394.075100955704</v>
      </c>
      <c r="E54" s="31">
        <f>$H$54*E39</f>
        <v>621.64406297224753</v>
      </c>
      <c r="F54" s="31">
        <f>$H$54*F39</f>
        <v>1052.97472229656</v>
      </c>
      <c r="G54" s="31">
        <f>$H$54*G39</f>
        <v>158.30611377548789</v>
      </c>
      <c r="H54" s="32">
        <v>14227</v>
      </c>
      <c r="I54" s="117">
        <v>31283</v>
      </c>
      <c r="J54" s="117">
        <v>59716</v>
      </c>
      <c r="K54" s="118">
        <v>11982.15</v>
      </c>
      <c r="L54" s="164"/>
    </row>
    <row r="55" spans="1:12" ht="27.75" customHeight="1" x14ac:dyDescent="0.25">
      <c r="A55" s="25"/>
      <c r="B55" s="23" t="s">
        <v>53</v>
      </c>
      <c r="C55" s="33" t="s">
        <v>8</v>
      </c>
      <c r="D55" s="31">
        <f>$H$55*D39</f>
        <v>35886.801835156344</v>
      </c>
      <c r="E55" s="31">
        <f>$H$55*E39</f>
        <v>1799.958215370687</v>
      </c>
      <c r="F55" s="31">
        <f>$H$55*F39</f>
        <v>3048.86769595027</v>
      </c>
      <c r="G55" s="31">
        <f>$H$55*G39</f>
        <v>458.37225352269962</v>
      </c>
      <c r="H55" s="31">
        <v>41194</v>
      </c>
      <c r="I55" s="117">
        <v>37500</v>
      </c>
      <c r="J55" s="117">
        <v>27805</v>
      </c>
      <c r="K55" s="118">
        <v>20942.349999999999</v>
      </c>
      <c r="L55" s="164"/>
    </row>
    <row r="56" spans="1:12" ht="15.75" customHeight="1" x14ac:dyDescent="0.25">
      <c r="A56" s="25"/>
      <c r="B56" s="23" t="s">
        <v>54</v>
      </c>
      <c r="C56" s="33" t="s">
        <v>8</v>
      </c>
      <c r="D56" s="31">
        <f>$H$56*D39</f>
        <v>61938.142372091708</v>
      </c>
      <c r="E56" s="31">
        <f>$H$56*E39</f>
        <v>3106.6036120897488</v>
      </c>
      <c r="F56" s="31">
        <f>$H$56*F39</f>
        <v>5262.135151883097</v>
      </c>
      <c r="G56" s="31">
        <f>$H$56*G39</f>
        <v>791.11886393544933</v>
      </c>
      <c r="H56" s="32">
        <v>71098</v>
      </c>
      <c r="I56" s="117">
        <v>53590</v>
      </c>
      <c r="J56" s="117">
        <v>84410</v>
      </c>
      <c r="K56" s="118">
        <v>67250</v>
      </c>
      <c r="L56" s="164"/>
    </row>
    <row r="57" spans="1:12" ht="13.8" x14ac:dyDescent="0.25">
      <c r="A57" s="25"/>
      <c r="B57" s="23" t="s">
        <v>55</v>
      </c>
      <c r="C57" s="27" t="s">
        <v>8</v>
      </c>
      <c r="D57" s="31">
        <f>$H$57*D39</f>
        <v>91333.88821672152</v>
      </c>
      <c r="E57" s="31">
        <f>$H$57*E39</f>
        <v>4580.9928450181633</v>
      </c>
      <c r="F57" s="31">
        <f>$H$57*F39</f>
        <v>7759.5362943905002</v>
      </c>
      <c r="G57" s="31">
        <f>$H$57*G39</f>
        <v>1166.5826438698198</v>
      </c>
      <c r="H57" s="32">
        <v>104841</v>
      </c>
      <c r="I57" s="117">
        <v>38145</v>
      </c>
      <c r="J57" s="117">
        <v>56141</v>
      </c>
      <c r="K57" s="118">
        <v>83433.210000000006</v>
      </c>
      <c r="L57" s="165"/>
    </row>
    <row r="58" spans="1:12" x14ac:dyDescent="0.25">
      <c r="A58" s="38"/>
      <c r="B58" s="39"/>
      <c r="C58" s="40"/>
      <c r="D58" s="32"/>
      <c r="E58" s="32"/>
      <c r="F58" s="32"/>
      <c r="G58" s="32"/>
      <c r="H58" s="32"/>
      <c r="I58" s="117"/>
      <c r="J58" s="117"/>
      <c r="K58" s="118"/>
      <c r="L58" s="117"/>
    </row>
    <row r="59" spans="1:12" ht="15" thickBot="1" x14ac:dyDescent="0.35">
      <c r="A59" s="41">
        <v>5</v>
      </c>
      <c r="B59" s="42" t="s">
        <v>56</v>
      </c>
      <c r="C59" s="43" t="s">
        <v>8</v>
      </c>
      <c r="D59" s="44">
        <f>D4+D27+D34+D41</f>
        <v>38050001.162288077</v>
      </c>
      <c r="E59" s="44">
        <f>E4+E27+E34+E41</f>
        <v>1908456.8332815398</v>
      </c>
      <c r="F59" s="44">
        <f>F4+F27+F34+F41</f>
        <v>3232648.5906281644</v>
      </c>
      <c r="G59" s="44">
        <f>G4+G27+G34+G41</f>
        <v>486002.20380221418</v>
      </c>
      <c r="H59" s="44">
        <f>H4+H27+H34+H41</f>
        <v>43677108.789999999</v>
      </c>
      <c r="I59" s="121">
        <f t="shared" ref="I59:J59" si="15">I37+I41</f>
        <v>38244889.530000009</v>
      </c>
      <c r="J59" s="121">
        <v>37148525.100000001</v>
      </c>
      <c r="K59" s="122">
        <f>K37+K41</f>
        <v>26213468.288000003</v>
      </c>
      <c r="L59" s="121"/>
    </row>
    <row r="60" spans="1:12" ht="13.8" x14ac:dyDescent="0.25">
      <c r="A60" s="159">
        <v>6</v>
      </c>
      <c r="B60" s="45" t="s">
        <v>57</v>
      </c>
      <c r="C60" s="46" t="s">
        <v>58</v>
      </c>
      <c r="D60" s="47">
        <f>SUM(D61:D63)</f>
        <v>19681</v>
      </c>
      <c r="E60" s="47">
        <f>D60</f>
        <v>19681</v>
      </c>
      <c r="F60" s="47">
        <f>E60</f>
        <v>19681</v>
      </c>
      <c r="G60" s="123"/>
      <c r="H60" s="47"/>
      <c r="I60" s="124">
        <f t="shared" ref="I60" si="16">SUM(I61:I63)</f>
        <v>16988</v>
      </c>
      <c r="J60" s="124">
        <v>15751</v>
      </c>
      <c r="K60" s="125">
        <f>SUM(K61:K63)</f>
        <v>19666</v>
      </c>
      <c r="L60" s="166" t="s">
        <v>106</v>
      </c>
    </row>
    <row r="61" spans="1:12" x14ac:dyDescent="0.25">
      <c r="A61" s="160"/>
      <c r="B61" s="23" t="s">
        <v>59</v>
      </c>
      <c r="C61" s="15" t="s">
        <v>58</v>
      </c>
      <c r="D61" s="20">
        <v>14880</v>
      </c>
      <c r="E61" s="20">
        <f>D61</f>
        <v>14880</v>
      </c>
      <c r="F61" s="20">
        <f>E61</f>
        <v>14880</v>
      </c>
      <c r="G61" s="126">
        <v>3365</v>
      </c>
      <c r="H61" s="20"/>
      <c r="I61" s="124">
        <v>13310</v>
      </c>
      <c r="J61" s="124">
        <v>12393</v>
      </c>
      <c r="K61" s="125">
        <v>15008</v>
      </c>
      <c r="L61" s="164"/>
    </row>
    <row r="62" spans="1:12" x14ac:dyDescent="0.25">
      <c r="A62" s="160"/>
      <c r="B62" s="23" t="s">
        <v>60</v>
      </c>
      <c r="C62" s="15" t="s">
        <v>58</v>
      </c>
      <c r="D62" s="20">
        <v>4238</v>
      </c>
      <c r="E62" s="20">
        <f t="shared" ref="E62:F63" si="17">D62</f>
        <v>4238</v>
      </c>
      <c r="F62" s="20">
        <f t="shared" si="17"/>
        <v>4238</v>
      </c>
      <c r="G62" s="126"/>
      <c r="H62" s="20"/>
      <c r="I62" s="124">
        <v>3317</v>
      </c>
      <c r="J62" s="124">
        <v>3039</v>
      </c>
      <c r="K62" s="125">
        <v>4025</v>
      </c>
      <c r="L62" s="164"/>
    </row>
    <row r="63" spans="1:12" ht="13.8" thickBot="1" x14ac:dyDescent="0.3">
      <c r="A63" s="161"/>
      <c r="B63" s="48" t="s">
        <v>61</v>
      </c>
      <c r="C63" s="49" t="s">
        <v>58</v>
      </c>
      <c r="D63" s="50">
        <v>563</v>
      </c>
      <c r="E63" s="50">
        <f t="shared" si="17"/>
        <v>563</v>
      </c>
      <c r="F63" s="50">
        <f t="shared" si="17"/>
        <v>563</v>
      </c>
      <c r="G63" s="127"/>
      <c r="H63" s="50"/>
      <c r="I63" s="50">
        <v>361</v>
      </c>
      <c r="J63" s="50">
        <v>319</v>
      </c>
      <c r="K63" s="128">
        <v>633</v>
      </c>
      <c r="L63" s="167"/>
    </row>
    <row r="64" spans="1:12" ht="13.8" x14ac:dyDescent="0.25">
      <c r="A64" s="159">
        <v>7</v>
      </c>
      <c r="B64" s="51" t="s">
        <v>62</v>
      </c>
      <c r="C64" s="46" t="s">
        <v>8</v>
      </c>
      <c r="D64" s="47">
        <f>D59-D5</f>
        <v>11534793.762288079</v>
      </c>
      <c r="E64" s="47">
        <f>E59-E5</f>
        <v>1539193.8332815398</v>
      </c>
      <c r="F64" s="47">
        <f>F59-F5</f>
        <v>3232648.5906281644</v>
      </c>
      <c r="G64" s="47"/>
      <c r="H64" s="47">
        <f t="shared" ref="H64:H65" si="18">SUM(D64:G64)</f>
        <v>16306636.186197782</v>
      </c>
      <c r="I64" s="124">
        <v>15442988.570000002</v>
      </c>
      <c r="J64" s="124">
        <v>14824195.100000001</v>
      </c>
      <c r="K64" s="125">
        <f>K59-K5</f>
        <v>8818246.8300000019</v>
      </c>
      <c r="L64" s="124"/>
    </row>
    <row r="65" spans="1:12" ht="14.4" thickBot="1" x14ac:dyDescent="0.3">
      <c r="A65" s="161"/>
      <c r="B65" s="52" t="s">
        <v>62</v>
      </c>
      <c r="C65" s="49" t="s">
        <v>63</v>
      </c>
      <c r="D65" s="53">
        <f>D64/D60</f>
        <v>586.08778833840142</v>
      </c>
      <c r="E65" s="53">
        <f t="shared" ref="E65:F65" si="19">E64/E60</f>
        <v>78.207094826560635</v>
      </c>
      <c r="F65" s="53">
        <f t="shared" si="19"/>
        <v>164.25225296621943</v>
      </c>
      <c r="G65" s="53"/>
      <c r="H65" s="53">
        <f t="shared" si="18"/>
        <v>828.54713613118145</v>
      </c>
      <c r="I65" s="50">
        <v>909.05277666588199</v>
      </c>
      <c r="J65" s="50">
        <v>941.15898038219802</v>
      </c>
      <c r="K65" s="128">
        <f>K64/K60</f>
        <v>448.40063205532402</v>
      </c>
      <c r="L65" s="50"/>
    </row>
    <row r="66" spans="1:12" ht="26.4" customHeight="1" x14ac:dyDescent="0.25">
      <c r="A66" s="156">
        <v>8</v>
      </c>
      <c r="B66" s="54" t="s">
        <v>64</v>
      </c>
      <c r="C66" s="55" t="s">
        <v>8</v>
      </c>
      <c r="D66" s="56">
        <f t="shared" ref="D66:F68" si="20">D7+D11+D15</f>
        <v>15909227.479219591</v>
      </c>
      <c r="E66" s="56">
        <f t="shared" si="20"/>
        <v>279171</v>
      </c>
      <c r="F66" s="56">
        <f t="shared" si="20"/>
        <v>0</v>
      </c>
      <c r="G66" s="56"/>
      <c r="H66" s="56">
        <f>SUM(D66:G66)</f>
        <v>16188398.479219591</v>
      </c>
      <c r="I66" s="129">
        <v>14928040.061689969</v>
      </c>
      <c r="J66" s="129">
        <v>14714200</v>
      </c>
      <c r="K66" s="130">
        <f>K7+K11+K15</f>
        <v>13275067.808</v>
      </c>
      <c r="L66" s="129"/>
    </row>
    <row r="67" spans="1:12" ht="30.6" customHeight="1" x14ac:dyDescent="0.25">
      <c r="A67" s="157"/>
      <c r="B67" s="39" t="s">
        <v>65</v>
      </c>
      <c r="C67" s="57" t="s">
        <v>8</v>
      </c>
      <c r="D67" s="58">
        <f t="shared" si="20"/>
        <v>8882826.4348745048</v>
      </c>
      <c r="E67" s="58">
        <f t="shared" si="20"/>
        <v>79511</v>
      </c>
      <c r="F67" s="58">
        <f t="shared" si="20"/>
        <v>0</v>
      </c>
      <c r="G67" s="58"/>
      <c r="H67" s="58">
        <f>SUM(D67:G67)</f>
        <v>8962337.4348745048</v>
      </c>
      <c r="I67" s="131">
        <v>7101031.4781837435</v>
      </c>
      <c r="J67" s="131">
        <v>6887190</v>
      </c>
      <c r="K67" s="75">
        <f>K8+K12+K16</f>
        <v>3560244.4</v>
      </c>
      <c r="L67" s="84"/>
    </row>
    <row r="68" spans="1:12" ht="30.6" customHeight="1" x14ac:dyDescent="0.25">
      <c r="A68" s="157"/>
      <c r="B68" s="39" t="s">
        <v>66</v>
      </c>
      <c r="C68" s="57" t="s">
        <v>8</v>
      </c>
      <c r="D68" s="58">
        <f t="shared" si="20"/>
        <v>1723153.4859059039</v>
      </c>
      <c r="E68" s="58">
        <f t="shared" si="20"/>
        <v>10581</v>
      </c>
      <c r="F68" s="58">
        <f t="shared" si="20"/>
        <v>0</v>
      </c>
      <c r="G68" s="58"/>
      <c r="H68" s="58"/>
      <c r="I68" s="131">
        <v>772829.42316078732</v>
      </c>
      <c r="J68" s="131">
        <v>722940</v>
      </c>
      <c r="K68" s="76">
        <f>K9+K13+K17</f>
        <v>559909.25</v>
      </c>
      <c r="L68" s="76"/>
    </row>
    <row r="69" spans="1:12" ht="26.4" x14ac:dyDescent="0.25">
      <c r="A69" s="157"/>
      <c r="B69" s="39" t="s">
        <v>64</v>
      </c>
      <c r="C69" s="59" t="s">
        <v>67</v>
      </c>
      <c r="D69" s="60">
        <f>D66/D61</f>
        <v>1069.1685133884134</v>
      </c>
      <c r="E69" s="60">
        <f>E66/E61</f>
        <v>18.761491935483871</v>
      </c>
      <c r="F69" s="60">
        <f>F66/F61</f>
        <v>0</v>
      </c>
      <c r="G69" s="60"/>
      <c r="H69" s="60">
        <f>SUM(D69:G69)</f>
        <v>1087.9300053238974</v>
      </c>
      <c r="I69" s="84">
        <v>1121.5657446799376</v>
      </c>
      <c r="J69" s="84">
        <v>1187.2992818526586</v>
      </c>
      <c r="K69" s="75">
        <f>K66/K61</f>
        <v>884.53276972281446</v>
      </c>
      <c r="L69" s="75"/>
    </row>
    <row r="70" spans="1:12" ht="26.4" x14ac:dyDescent="0.25">
      <c r="A70" s="157"/>
      <c r="B70" s="39" t="s">
        <v>107</v>
      </c>
      <c r="C70" s="59" t="s">
        <v>67</v>
      </c>
      <c r="D70" s="60">
        <f>D67/D62</f>
        <v>2095.9949114852534</v>
      </c>
      <c r="E70" s="60">
        <f t="shared" ref="E70:F70" si="21">E67/E62</f>
        <v>18.761444077394998</v>
      </c>
      <c r="F70" s="60">
        <f t="shared" si="21"/>
        <v>0</v>
      </c>
      <c r="G70" s="60"/>
      <c r="H70" s="60">
        <f>SUM(D70:G70)</f>
        <v>2114.7563555626484</v>
      </c>
      <c r="I70" s="84">
        <v>2140.7993603206946</v>
      </c>
      <c r="J70" s="84">
        <v>2266.2685093780851</v>
      </c>
      <c r="K70" s="75">
        <f t="shared" ref="K70:K71" si="22">K67/K62</f>
        <v>884.53277018633537</v>
      </c>
      <c r="L70" s="75"/>
    </row>
    <row r="71" spans="1:12" ht="31.2" customHeight="1" thickBot="1" x14ac:dyDescent="0.3">
      <c r="A71" s="158"/>
      <c r="B71" s="61" t="s">
        <v>69</v>
      </c>
      <c r="C71" s="62" t="s">
        <v>67</v>
      </c>
      <c r="D71" s="63">
        <f t="shared" ref="D71:F71" si="23">D68/D63</f>
        <v>3060.6633852680352</v>
      </c>
      <c r="E71" s="63">
        <f t="shared" si="23"/>
        <v>18.793960923623445</v>
      </c>
      <c r="F71" s="63">
        <f t="shared" si="23"/>
        <v>0</v>
      </c>
      <c r="G71" s="132"/>
      <c r="H71" s="63">
        <f>SUM(D71:G71)</f>
        <v>3079.4573461916589</v>
      </c>
      <c r="I71" s="133">
        <v>2140.8017262071671</v>
      </c>
      <c r="J71" s="133">
        <v>2266.2695924764889</v>
      </c>
      <c r="K71" s="82">
        <f t="shared" si="22"/>
        <v>884.53278041074248</v>
      </c>
      <c r="L71" s="82"/>
    </row>
    <row r="72" spans="1:12" ht="27" customHeight="1" x14ac:dyDescent="0.25">
      <c r="A72" s="156">
        <v>9</v>
      </c>
      <c r="B72" s="64" t="s">
        <v>70</v>
      </c>
      <c r="C72" s="65" t="s">
        <v>67</v>
      </c>
      <c r="D72" s="66">
        <f>D69+$D$65</f>
        <v>1655.2563017268149</v>
      </c>
      <c r="E72" s="66">
        <f>E69+$E$65</f>
        <v>96.968586762044509</v>
      </c>
      <c r="F72" s="66">
        <f>F69+$F$65</f>
        <v>164.25225296621943</v>
      </c>
      <c r="G72" s="66"/>
      <c r="H72" s="66">
        <f>SUM(D72:G72)</f>
        <v>1916.4771414550787</v>
      </c>
      <c r="I72" s="134">
        <v>2030.6185213458193</v>
      </c>
      <c r="J72" s="134">
        <v>2128.4582622348566</v>
      </c>
      <c r="K72" s="66">
        <f>K65+K69</f>
        <v>1332.9334017781384</v>
      </c>
      <c r="L72" s="166"/>
    </row>
    <row r="73" spans="1:12" ht="31.8" customHeight="1" x14ac:dyDescent="0.25">
      <c r="A73" s="157"/>
      <c r="B73" s="67" t="s">
        <v>108</v>
      </c>
      <c r="C73" s="65" t="s">
        <v>67</v>
      </c>
      <c r="D73" s="68">
        <f t="shared" ref="D73:D74" si="24">D70+$D$65</f>
        <v>2682.0826998236548</v>
      </c>
      <c r="E73" s="66">
        <f t="shared" ref="E73:E74" si="25">E70+$E$65</f>
        <v>96.968538903955633</v>
      </c>
      <c r="F73" s="66">
        <f t="shared" ref="F73:F74" si="26">F70+$F$65</f>
        <v>164.25225296621943</v>
      </c>
      <c r="G73" s="68"/>
      <c r="H73" s="66">
        <f t="shared" ref="H73:H74" si="27">SUM(D73:G73)</f>
        <v>2943.3034916938295</v>
      </c>
      <c r="I73" s="106">
        <v>3049.8521369865762</v>
      </c>
      <c r="J73" s="106">
        <v>3207.4274897602832</v>
      </c>
      <c r="K73" s="66">
        <f>K65+K70</f>
        <v>1332.9334022416595</v>
      </c>
      <c r="L73" s="164"/>
    </row>
    <row r="74" spans="1:12" ht="36.6" customHeight="1" thickBot="1" x14ac:dyDescent="0.3">
      <c r="A74" s="158"/>
      <c r="B74" s="69" t="s">
        <v>72</v>
      </c>
      <c r="C74" s="70" t="s">
        <v>67</v>
      </c>
      <c r="D74" s="71">
        <f t="shared" si="24"/>
        <v>3646.7511736064366</v>
      </c>
      <c r="E74" s="72">
        <f t="shared" si="25"/>
        <v>97.001055750184079</v>
      </c>
      <c r="F74" s="71">
        <f t="shared" si="26"/>
        <v>164.25225296621943</v>
      </c>
      <c r="G74" s="71"/>
      <c r="H74" s="71">
        <f t="shared" si="27"/>
        <v>3908.00448232284</v>
      </c>
      <c r="I74" s="72">
        <v>3049.8545028730491</v>
      </c>
      <c r="J74" s="72">
        <v>3207.4285728586865</v>
      </c>
      <c r="K74" s="71">
        <f>K65+K71</f>
        <v>1332.9334124660666</v>
      </c>
      <c r="L74" s="167"/>
    </row>
    <row r="75" spans="1:12" ht="17.25" hidden="1" customHeight="1" x14ac:dyDescent="0.25">
      <c r="A75" s="156">
        <v>10</v>
      </c>
      <c r="B75" s="73" t="s">
        <v>109</v>
      </c>
      <c r="C75" s="74" t="s">
        <v>8</v>
      </c>
      <c r="D75" s="75">
        <f>D59*0.0105792</f>
        <v>402538.57229607803</v>
      </c>
      <c r="E75" s="75">
        <f t="shared" ref="E75:F75" si="28">E59*0.0105792</f>
        <v>20189.946530652069</v>
      </c>
      <c r="F75" s="75">
        <f t="shared" si="28"/>
        <v>34198.835969973479</v>
      </c>
      <c r="G75" s="76"/>
      <c r="H75" s="76">
        <f>SUM(D75:G75)</f>
        <v>456927.35479670356</v>
      </c>
      <c r="I75" s="129"/>
      <c r="J75" s="129"/>
      <c r="K75" s="76"/>
      <c r="L75" s="166"/>
    </row>
    <row r="76" spans="1:12" ht="17.25" hidden="1" customHeight="1" x14ac:dyDescent="0.25">
      <c r="A76" s="157"/>
      <c r="B76" s="73" t="s">
        <v>73</v>
      </c>
      <c r="C76" s="74" t="s">
        <v>67</v>
      </c>
      <c r="D76" s="75">
        <f>D72*0.0105792</f>
        <v>17.511287467228321</v>
      </c>
      <c r="E76" s="75">
        <f t="shared" ref="E76:F78" si="29">E72*0.0105792</f>
        <v>1.0258500730730213</v>
      </c>
      <c r="F76" s="75">
        <f t="shared" si="29"/>
        <v>1.7376574345802287</v>
      </c>
      <c r="G76" s="75"/>
      <c r="H76" s="75">
        <f>SUM(D76:G76)</f>
        <v>20.274794974881569</v>
      </c>
      <c r="I76" s="84"/>
      <c r="J76" s="84"/>
      <c r="K76" s="75">
        <f>K72*0.03</f>
        <v>39.988002053344154</v>
      </c>
      <c r="L76" s="164"/>
    </row>
    <row r="77" spans="1:12" ht="19.8" hidden="1" customHeight="1" x14ac:dyDescent="0.25">
      <c r="A77" s="157"/>
      <c r="B77" s="73" t="s">
        <v>74</v>
      </c>
      <c r="C77" s="74" t="s">
        <v>67</v>
      </c>
      <c r="D77" s="75">
        <f>D73*0.0105792</f>
        <v>28.374289297974411</v>
      </c>
      <c r="E77" s="75">
        <f t="shared" si="29"/>
        <v>1.0258495667727274</v>
      </c>
      <c r="F77" s="75">
        <f t="shared" si="29"/>
        <v>1.7376574345802287</v>
      </c>
      <c r="G77" s="75"/>
      <c r="H77" s="75">
        <f t="shared" ref="H77:H88" si="30">SUM(D77:G77)</f>
        <v>31.137796299327366</v>
      </c>
      <c r="I77" s="84"/>
      <c r="J77" s="84"/>
      <c r="K77" s="75">
        <f t="shared" ref="K77:K78" si="31">K73*0.03</f>
        <v>39.988002067249781</v>
      </c>
      <c r="L77" s="164"/>
    </row>
    <row r="78" spans="1:12" ht="27.6" hidden="1" customHeight="1" thickBot="1" x14ac:dyDescent="0.3">
      <c r="A78" s="158"/>
      <c r="B78" s="77" t="s">
        <v>75</v>
      </c>
      <c r="C78" s="78" t="s">
        <v>67</v>
      </c>
      <c r="D78" s="79">
        <f>D74*0.0105792</f>
        <v>38.579710015817213</v>
      </c>
      <c r="E78" s="79">
        <f t="shared" si="29"/>
        <v>1.0261935689923474</v>
      </c>
      <c r="F78" s="79">
        <f t="shared" si="29"/>
        <v>1.7376574345802287</v>
      </c>
      <c r="G78" s="79"/>
      <c r="H78" s="79">
        <f t="shared" si="30"/>
        <v>41.343561019389789</v>
      </c>
      <c r="I78" s="135"/>
      <c r="J78" s="135"/>
      <c r="K78" s="82">
        <f t="shared" si="31"/>
        <v>39.988002373981992</v>
      </c>
      <c r="L78" s="167"/>
    </row>
    <row r="79" spans="1:12" ht="17.25" hidden="1" customHeight="1" x14ac:dyDescent="0.25">
      <c r="A79" s="156">
        <v>11</v>
      </c>
      <c r="B79" s="80" t="s">
        <v>76</v>
      </c>
      <c r="C79" s="81" t="s">
        <v>8</v>
      </c>
      <c r="D79" s="76">
        <f>D59*0.04</f>
        <v>1522000.046491523</v>
      </c>
      <c r="E79" s="76">
        <f>E59*0.04</f>
        <v>76338.273331261589</v>
      </c>
      <c r="F79" s="76">
        <f>F59*0.04</f>
        <v>129305.94362512657</v>
      </c>
      <c r="G79" s="76"/>
      <c r="H79" s="76">
        <f t="shared" si="30"/>
        <v>1727644.263447911</v>
      </c>
      <c r="I79" s="129">
        <v>1570493.4216</v>
      </c>
      <c r="J79" s="129"/>
      <c r="K79" s="76"/>
      <c r="L79" s="166" t="s">
        <v>110</v>
      </c>
    </row>
    <row r="80" spans="1:12" ht="17.25" customHeight="1" x14ac:dyDescent="0.25">
      <c r="A80" s="157"/>
      <c r="B80" s="73" t="s">
        <v>86</v>
      </c>
      <c r="C80" s="74" t="s">
        <v>63</v>
      </c>
      <c r="D80" s="75">
        <f>D72*0.04</f>
        <v>66.210252069072595</v>
      </c>
      <c r="E80" s="75">
        <f t="shared" ref="E80:F82" si="32">E72*0.04</f>
        <v>3.8787434704817803</v>
      </c>
      <c r="F80" s="75">
        <f t="shared" si="32"/>
        <v>6.5700901186487775</v>
      </c>
      <c r="G80" s="75"/>
      <c r="H80" s="75">
        <f t="shared" si="30"/>
        <v>76.659085658203153</v>
      </c>
      <c r="I80" s="84">
        <v>81.217142519302442</v>
      </c>
      <c r="J80" s="84">
        <v>85.042751708034586</v>
      </c>
      <c r="K80" s="75"/>
      <c r="L80" s="164"/>
    </row>
    <row r="81" spans="1:15" ht="17.25" customHeight="1" x14ac:dyDescent="0.25">
      <c r="A81" s="157"/>
      <c r="B81" s="39" t="s">
        <v>111</v>
      </c>
      <c r="C81" s="74" t="s">
        <v>63</v>
      </c>
      <c r="D81" s="75">
        <f>D73*0.04</f>
        <v>107.28330799294619</v>
      </c>
      <c r="E81" s="75">
        <f t="shared" si="32"/>
        <v>3.8787415561582255</v>
      </c>
      <c r="F81" s="75">
        <f t="shared" si="32"/>
        <v>6.5700901186487775</v>
      </c>
      <c r="G81" s="136"/>
      <c r="H81" s="75">
        <f>SUM(D81:G81)</f>
        <v>117.7321396677532</v>
      </c>
      <c r="I81" s="84">
        <v>121.98458756130012</v>
      </c>
      <c r="J81" s="84">
        <v>128.15887796813735</v>
      </c>
      <c r="K81" s="75"/>
      <c r="L81" s="164"/>
    </row>
    <row r="82" spans="1:15" ht="51.6" customHeight="1" thickBot="1" x14ac:dyDescent="0.3">
      <c r="A82" s="158"/>
      <c r="B82" s="77" t="s">
        <v>78</v>
      </c>
      <c r="C82" s="62" t="s">
        <v>63</v>
      </c>
      <c r="D82" s="82">
        <f>D74*0.04</f>
        <v>145.87004694425747</v>
      </c>
      <c r="E82" s="82">
        <f t="shared" si="32"/>
        <v>3.8800422300073634</v>
      </c>
      <c r="F82" s="82">
        <f t="shared" si="32"/>
        <v>6.5700901186487775</v>
      </c>
      <c r="G82" s="82"/>
      <c r="H82" s="82">
        <f t="shared" ref="H82" si="33">SUM(D82:G82)</f>
        <v>156.32017929291362</v>
      </c>
      <c r="I82" s="137">
        <v>121.98278261312645</v>
      </c>
      <c r="J82" s="137">
        <v>128.15892129207347</v>
      </c>
      <c r="K82" s="82"/>
      <c r="L82" s="167"/>
    </row>
    <row r="83" spans="1:15" ht="17.25" customHeight="1" x14ac:dyDescent="0.25">
      <c r="A83" s="156">
        <v>12</v>
      </c>
      <c r="B83" s="80" t="s">
        <v>79</v>
      </c>
      <c r="C83" s="81" t="s">
        <v>63</v>
      </c>
      <c r="D83" s="76">
        <f>(D72+D76+D80)*0.2</f>
        <v>347.79556825262318</v>
      </c>
      <c r="E83" s="76">
        <f t="shared" ref="E83:G85" si="34">(E72+E76+E80)*0.2</f>
        <v>20.374636061119862</v>
      </c>
      <c r="F83" s="76">
        <f t="shared" si="34"/>
        <v>34.51200010388969</v>
      </c>
      <c r="G83" s="76">
        <f t="shared" si="34"/>
        <v>0</v>
      </c>
      <c r="H83" s="138">
        <f t="shared" si="30"/>
        <v>402.68220441763276</v>
      </c>
      <c r="I83" s="129">
        <v>422.36713277302442</v>
      </c>
      <c r="J83" s="129">
        <v>442.70020278857828</v>
      </c>
      <c r="K83" s="76">
        <f>(K72+K76)*0.2</f>
        <v>274.58428076629656</v>
      </c>
      <c r="L83" s="76"/>
    </row>
    <row r="84" spans="1:15" ht="17.25" customHeight="1" x14ac:dyDescent="0.25">
      <c r="A84" s="157"/>
      <c r="B84" s="39" t="s">
        <v>112</v>
      </c>
      <c r="C84" s="83"/>
      <c r="D84" s="84">
        <f>(D73+D77+D81)*0.2</f>
        <v>563.54805942291512</v>
      </c>
      <c r="E84" s="75">
        <f t="shared" si="34"/>
        <v>20.374626005377319</v>
      </c>
      <c r="F84" s="75">
        <f t="shared" si="34"/>
        <v>34.51200010388969</v>
      </c>
      <c r="G84" s="75">
        <f t="shared" si="34"/>
        <v>0</v>
      </c>
      <c r="H84" s="116">
        <f t="shared" ref="H84:H85" si="35">SUM(D84:G84)</f>
        <v>618.43468553218213</v>
      </c>
      <c r="I84" s="84">
        <v>634.36734490957542</v>
      </c>
      <c r="J84" s="84">
        <v>667.11727354568416</v>
      </c>
      <c r="K84" s="76">
        <f t="shared" ref="K84:K85" si="36">(K73+K77)*0.2</f>
        <v>274.58428086178185</v>
      </c>
      <c r="L84" s="76"/>
    </row>
    <row r="85" spans="1:15" ht="17.25" customHeight="1" thickBot="1" x14ac:dyDescent="0.3">
      <c r="A85" s="158"/>
      <c r="B85" s="77" t="s">
        <v>81</v>
      </c>
      <c r="C85" s="62" t="s">
        <v>63</v>
      </c>
      <c r="D85" s="79">
        <f>(D74+D78+D82)*0.2</f>
        <v>766.24018611330223</v>
      </c>
      <c r="E85" s="79">
        <f t="shared" si="34"/>
        <v>20.381458309836759</v>
      </c>
      <c r="F85" s="79">
        <f t="shared" si="34"/>
        <v>34.51200010388969</v>
      </c>
      <c r="G85" s="79">
        <f t="shared" si="34"/>
        <v>0</v>
      </c>
      <c r="H85" s="139">
        <f t="shared" si="35"/>
        <v>821.13364452702865</v>
      </c>
      <c r="I85" s="133">
        <v>634.36745709723527</v>
      </c>
      <c r="J85" s="133">
        <v>667.11749883015204</v>
      </c>
      <c r="K85" s="140">
        <f t="shared" si="36"/>
        <v>274.58428296800975</v>
      </c>
      <c r="L85" s="133"/>
    </row>
    <row r="86" spans="1:15" ht="16.5" customHeight="1" x14ac:dyDescent="0.25">
      <c r="A86" s="159">
        <v>13</v>
      </c>
      <c r="B86" s="85" t="s">
        <v>82</v>
      </c>
      <c r="C86" s="86" t="s">
        <v>67</v>
      </c>
      <c r="D86" s="87">
        <f>D72+D76+D80+D83</f>
        <v>2086.7734095157389</v>
      </c>
      <c r="E86" s="88">
        <f t="shared" ref="E86:F88" si="37">E72+E76+E80+E83</f>
        <v>122.24781636671916</v>
      </c>
      <c r="F86" s="87">
        <f t="shared" si="37"/>
        <v>207.07200062333811</v>
      </c>
      <c r="G86" s="88">
        <f>G59/G61/12*1.2</f>
        <v>14.442858954003393</v>
      </c>
      <c r="H86" s="87">
        <f t="shared" si="30"/>
        <v>2430.5360854597998</v>
      </c>
      <c r="I86" s="141">
        <v>2534.2027966381465</v>
      </c>
      <c r="J86" s="141">
        <v>2656.2012167314697</v>
      </c>
      <c r="K86" s="142">
        <f>K72+K76+K83</f>
        <v>1647.5056845977792</v>
      </c>
      <c r="L86" s="143">
        <v>1647.51</v>
      </c>
      <c r="M86" s="168"/>
      <c r="N86" s="144">
        <v>1647.51</v>
      </c>
      <c r="O86" s="168" t="s">
        <v>113</v>
      </c>
    </row>
    <row r="87" spans="1:15" ht="16.5" customHeight="1" x14ac:dyDescent="0.25">
      <c r="A87" s="160"/>
      <c r="B87" s="34" t="s">
        <v>114</v>
      </c>
      <c r="C87" s="89" t="s">
        <v>67</v>
      </c>
      <c r="D87" s="90">
        <f>D73+D77+D81+D84</f>
        <v>3381.2883565374905</v>
      </c>
      <c r="E87" s="91">
        <f t="shared" si="37"/>
        <v>122.24775603226391</v>
      </c>
      <c r="F87" s="90">
        <f t="shared" si="37"/>
        <v>207.07200062333811</v>
      </c>
      <c r="G87" s="145"/>
      <c r="H87" s="90">
        <f t="shared" si="30"/>
        <v>3710.6081131930928</v>
      </c>
      <c r="I87" s="146">
        <v>3806.2040694574516</v>
      </c>
      <c r="J87" s="146">
        <v>4002.7036412741045</v>
      </c>
      <c r="K87" s="147">
        <f t="shared" ref="K87:K88" si="38">K73+K77+K84</f>
        <v>1647.5056851706909</v>
      </c>
      <c r="L87" s="148">
        <v>3710.61</v>
      </c>
      <c r="M87" s="168"/>
      <c r="N87" s="149">
        <v>3710.61</v>
      </c>
      <c r="O87" s="168"/>
    </row>
    <row r="88" spans="1:15" ht="15" thickBot="1" x14ac:dyDescent="0.3">
      <c r="A88" s="161"/>
      <c r="B88" s="92" t="s">
        <v>115</v>
      </c>
      <c r="C88" s="93" t="s">
        <v>67</v>
      </c>
      <c r="D88" s="94">
        <f>D74+D78+D82+D85</f>
        <v>4597.4411166798136</v>
      </c>
      <c r="E88" s="95">
        <f t="shared" si="37"/>
        <v>122.28874985902054</v>
      </c>
      <c r="F88" s="94">
        <f t="shared" si="37"/>
        <v>207.07200062333811</v>
      </c>
      <c r="G88" s="150"/>
      <c r="H88" s="94">
        <f t="shared" si="30"/>
        <v>4926.8018671621721</v>
      </c>
      <c r="I88" s="151">
        <v>3806.2047425834112</v>
      </c>
      <c r="J88" s="151">
        <v>4002.7049929809118</v>
      </c>
      <c r="K88" s="152">
        <f t="shared" si="38"/>
        <v>1647.5056978080584</v>
      </c>
      <c r="L88" s="153">
        <v>4926.8</v>
      </c>
      <c r="M88" s="168"/>
      <c r="N88" s="149">
        <v>4926.8</v>
      </c>
      <c r="O88" s="168"/>
    </row>
    <row r="94" spans="1:15" ht="15.6" hidden="1" x14ac:dyDescent="0.3">
      <c r="B94" s="96" t="s">
        <v>116</v>
      </c>
      <c r="C94" s="96"/>
      <c r="D94" s="96"/>
    </row>
  </sheetData>
  <mergeCells count="18">
    <mergeCell ref="M86:M88"/>
    <mergeCell ref="O86:O88"/>
    <mergeCell ref="A75:A78"/>
    <mergeCell ref="L75:L78"/>
    <mergeCell ref="A79:A82"/>
    <mergeCell ref="L79:L82"/>
    <mergeCell ref="A83:A85"/>
    <mergeCell ref="A86:A88"/>
    <mergeCell ref="A60:A63"/>
    <mergeCell ref="L60:L63"/>
    <mergeCell ref="A64:A65"/>
    <mergeCell ref="A66:A71"/>
    <mergeCell ref="A72:A74"/>
    <mergeCell ref="L72:L74"/>
    <mergeCell ref="L44:L57"/>
    <mergeCell ref="A1:K1"/>
    <mergeCell ref="L30:L32"/>
    <mergeCell ref="L5:L17"/>
  </mergeCells>
  <pageMargins left="0.51181102362204722" right="0.23622047244094491" top="0.19685039370078741" bottom="0" header="0.11811023622047245" footer="0"/>
  <pageSetup paperSize="9" scale="93" orientation="portrait" r:id="rId1"/>
  <headerFooter alignWithMargins="0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тариф 25-26</vt:lpstr>
      <vt:lpstr>порівняння</vt:lpstr>
      <vt:lpstr>порівняння!Область_печати</vt:lpstr>
      <vt:lpstr>'тариф 25-26'!Область_печати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2025-07-10T08:39:56Z</cp:lastPrinted>
  <dcterms:created xsi:type="dcterms:W3CDTF">2024-07-17T06:14:09Z</dcterms:created>
  <dcterms:modified xsi:type="dcterms:W3CDTF">2025-07-10T10:20:23Z</dcterms:modified>
</cp:coreProperties>
</file>