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080" windowWidth="14940" windowHeight="709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23" i="1" l="1"/>
  <c r="E23" i="1" l="1"/>
  <c r="E26" i="1"/>
  <c r="E6" i="1" l="1"/>
  <c r="E5" i="1" s="1"/>
  <c r="G20" i="1" l="1"/>
  <c r="D13" i="1" l="1"/>
  <c r="D5" i="1"/>
  <c r="D9" i="1" l="1"/>
  <c r="D22" i="1" l="1"/>
  <c r="D23" i="1" l="1"/>
  <c r="D33" i="1" s="1"/>
  <c r="D34" i="1" l="1"/>
  <c r="D35" i="1" s="1"/>
  <c r="D30" i="1"/>
  <c r="D31" i="1" s="1"/>
  <c r="D24" i="1"/>
  <c r="D25" i="1" s="1"/>
  <c r="J11" i="1"/>
  <c r="D26" i="1" l="1"/>
  <c r="D27" i="1" s="1"/>
  <c r="D32" i="1"/>
  <c r="D28" i="1"/>
  <c r="D29" i="1"/>
  <c r="C13" i="1"/>
  <c r="J17" i="1" l="1"/>
  <c r="E15" i="1" l="1"/>
  <c r="J16" i="1" l="1"/>
  <c r="J12" i="1"/>
  <c r="J10" i="1"/>
  <c r="C5" i="1" l="1"/>
  <c r="E13" i="1" l="1"/>
  <c r="E9" i="1" l="1"/>
  <c r="G9" i="1" s="1"/>
  <c r="J15" i="1"/>
  <c r="C9" i="1"/>
  <c r="C22" i="1" s="1"/>
  <c r="E22" i="1" l="1"/>
  <c r="J14" i="1"/>
  <c r="J13" i="1"/>
  <c r="E24" i="1" l="1"/>
  <c r="G24" i="1" s="1"/>
  <c r="G23" i="1"/>
  <c r="E30" i="1"/>
  <c r="E33" i="1"/>
  <c r="G33" i="1" s="1"/>
  <c r="J19" i="1"/>
  <c r="J18" i="1"/>
  <c r="F9" i="1"/>
  <c r="J9" i="1" s="1"/>
  <c r="E25" i="1" l="1"/>
  <c r="G25" i="1" s="1"/>
  <c r="E34" i="1"/>
  <c r="E35" i="1" s="1"/>
  <c r="G35" i="1" s="1"/>
  <c r="G26" i="1"/>
  <c r="E31" i="1"/>
  <c r="G34" i="1" l="1"/>
  <c r="E29" i="1"/>
  <c r="G29" i="1" s="1"/>
  <c r="E27" i="1"/>
  <c r="E28" i="1"/>
  <c r="E32" i="1"/>
  <c r="J22" i="1"/>
  <c r="C23" i="1"/>
  <c r="C24" i="1" s="1"/>
  <c r="J23" i="1" l="1"/>
  <c r="C33" i="1"/>
  <c r="F33" i="1" s="1"/>
  <c r="C30" i="1"/>
  <c r="F30" i="1" s="1"/>
  <c r="C34" i="1" l="1"/>
  <c r="C35" i="1" s="1"/>
  <c r="F35" i="1" s="1"/>
  <c r="J35" i="1" s="1"/>
  <c r="C31" i="1"/>
  <c r="F31" i="1" s="1"/>
  <c r="C25" i="1"/>
  <c r="F24" i="1"/>
  <c r="C32" i="1" l="1"/>
  <c r="F32" i="1" s="1"/>
  <c r="J32" i="1" s="1"/>
  <c r="F34" i="1"/>
  <c r="C26" i="1"/>
  <c r="F25" i="1"/>
  <c r="C29" i="1" l="1"/>
  <c r="J29" i="1" s="1"/>
  <c r="C27" i="1"/>
  <c r="F27" i="1" s="1"/>
  <c r="J27" i="1" s="1"/>
  <c r="C28" i="1"/>
  <c r="F28" i="1" s="1"/>
  <c r="J28" i="1" s="1"/>
  <c r="F26" i="1"/>
  <c r="J26" i="1" s="1"/>
</calcChain>
</file>

<file path=xl/sharedStrings.xml><?xml version="1.0" encoding="utf-8"?>
<sst xmlns="http://schemas.openxmlformats.org/spreadsheetml/2006/main" count="66" uniqueCount="63">
  <si>
    <t>№</t>
  </si>
  <si>
    <t>Стаття витрат</t>
  </si>
  <si>
    <t>Обсяги  (м. куб.) - всього</t>
  </si>
  <si>
    <t>Планова виробнича собівартість</t>
  </si>
  <si>
    <t>Вивезення ТПВ</t>
  </si>
  <si>
    <t xml:space="preserve">Захоронення ТПВ </t>
  </si>
  <si>
    <t>Інші прямі витрати(нарахування на заробітну плату)  - 22%</t>
  </si>
  <si>
    <t>ПДВ - 20 %</t>
  </si>
  <si>
    <t>1.1</t>
  </si>
  <si>
    <t>1.2</t>
  </si>
  <si>
    <t>1.3</t>
  </si>
  <si>
    <t>2.2</t>
  </si>
  <si>
    <t>2.3</t>
  </si>
  <si>
    <t>2.4</t>
  </si>
  <si>
    <t>2.1</t>
  </si>
  <si>
    <t>2.5</t>
  </si>
  <si>
    <t>2.5.1</t>
  </si>
  <si>
    <t>Прямі матеріальні витрати (ПММ ), грн</t>
  </si>
  <si>
    <t>Прямі витрати на оплату праці,грн</t>
  </si>
  <si>
    <t>Амортизація, грн</t>
  </si>
  <si>
    <t>Податки та збори, грн</t>
  </si>
  <si>
    <t>Витрати всього, грн</t>
  </si>
  <si>
    <t>Собівартість,  грн/м3</t>
  </si>
  <si>
    <t>Рентабельність для  бюджетних організацій   - 10%</t>
  </si>
  <si>
    <t>Вартість 1-го м3 для населення , грн</t>
  </si>
  <si>
    <t>Вартість 1-го м3 для бюджетних організацій, грн</t>
  </si>
  <si>
    <t>Вартість 1-го м3 для інших підприємств , грн</t>
  </si>
  <si>
    <t>7</t>
  </si>
  <si>
    <t>8</t>
  </si>
  <si>
    <t>Начальник КП"Долинський міськкомунгосп"</t>
  </si>
  <si>
    <t>___________</t>
  </si>
  <si>
    <t>А.В.Кушко</t>
  </si>
  <si>
    <t>Гол.економіст   ____________ Ширяєва Н.А.</t>
  </si>
  <si>
    <t>*</t>
  </si>
  <si>
    <t>Рентабельність для  інших підприємств    - 20%</t>
  </si>
  <si>
    <t>6</t>
  </si>
  <si>
    <t>5</t>
  </si>
  <si>
    <t>9</t>
  </si>
  <si>
    <t>Дотація міської ради (розгортання та захоронення сміття )</t>
  </si>
  <si>
    <t>3</t>
  </si>
  <si>
    <t>4</t>
  </si>
  <si>
    <t>10</t>
  </si>
  <si>
    <t>Тариф на 1-го мешканця в місяць упорядкованих  будинків (багатоквартирних та одноквартирних  з  наявністю усіх видів благоустрою-0,167 м3 на місяць), грн/чол</t>
  </si>
  <si>
    <t>Тариф на 1-го мешканця в місяць неупорядкованих будинків (багатоквартирних будинків з відсутністю одного або двох з видів видів благоустрою- 0,177 м3 на місяць), грн/чол</t>
  </si>
  <si>
    <t>Тариф на 1-го мешканця в місяць  будинків приватного сектору за  відсутністю одного або двох з видів  благоустрою-0,187 м3 на місяць ), грн/чол</t>
  </si>
  <si>
    <r>
      <t xml:space="preserve">Вартість 1 м3 вивезення та захоронення ТПВ </t>
    </r>
    <r>
      <rPr>
        <b/>
        <sz val="8"/>
        <color theme="1"/>
        <rFont val="Times New Roman"/>
        <family val="1"/>
        <charset val="204"/>
      </rPr>
      <t>діюча</t>
    </r>
  </si>
  <si>
    <t>обсяг ТПВ, вивезений  населенням  самостійно, м3</t>
  </si>
  <si>
    <t>обсяг ТПВ, вивезений  організаціями   самостійно, м3</t>
  </si>
  <si>
    <t xml:space="preserve">Витрати на збут </t>
  </si>
  <si>
    <t xml:space="preserve">Загальновиробничі  витрати </t>
  </si>
  <si>
    <t>Адміністративні витрати</t>
  </si>
  <si>
    <t>Відхилення   в грн.</t>
  </si>
  <si>
    <t>плановий обсяг ТПВ, вивезений КП "Долинський міськкомунгосп" , м3</t>
  </si>
  <si>
    <t xml:space="preserve">Вивезення твердих побутових відходів проводиться за системою плано-подвірного збирання ТПВ. Зібрані ТПВ вивозяться трактором   в пункт знешкодження (звалище), розташоване в районі "Грекова балка" </t>
  </si>
  <si>
    <t>Розрахунок тарифу на послуги з поводження з  твердими  побутовими відходами  для КП "Долинський міськкомунгосп"</t>
  </si>
  <si>
    <t>Прямі матеріальні витрати (запчастини по факту 2018 року , грн</t>
  </si>
  <si>
    <t>Рентабельність для  населення   - 3%</t>
  </si>
  <si>
    <t>Зменшення витрат (оренда контейнерів)</t>
  </si>
  <si>
    <t>з мікрорайону (62 %)</t>
  </si>
  <si>
    <t>з приватної частини міста  (38 %)</t>
  </si>
  <si>
    <t xml:space="preserve">Вартість 1 м3 вивезення та захоронення ТПВ  ручного завантаження </t>
  </si>
  <si>
    <t xml:space="preserve">Вартість 1 м3 вивезення та захоронення ТПВ  контейнерного  завантаження </t>
  </si>
  <si>
    <t>екологічний податок (26 405  х0.27 = 7129.35 т. х5 (ставка податку ) х 3(коеф.)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</si>
</sst>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i/>
      <sz val="8"/>
      <color theme="1"/>
      <name val="Calibri"/>
      <family val="2"/>
      <charset val="204"/>
      <scheme val="minor"/>
    </font>
    <font>
      <i/>
      <sz val="11"/>
      <color indexed="8"/>
      <name val="Calibri"/>
      <family val="2"/>
      <charset val="204"/>
    </font>
    <font>
      <i/>
      <sz val="8"/>
      <color indexed="8"/>
      <name val="Calibri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52">
    <xf numFmtId="0" fontId="0" fillId="0" borderId="0" xfId="0"/>
    <xf numFmtId="0" fontId="7" fillId="0" borderId="0" xfId="0" applyFont="1"/>
    <xf numFmtId="49" fontId="2" fillId="0" borderId="2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0" fontId="8" fillId="0" borderId="0" xfId="0" applyFont="1"/>
    <xf numFmtId="0" fontId="9" fillId="0" borderId="0" xfId="0" applyFont="1"/>
    <xf numFmtId="0" fontId="10" fillId="0" borderId="0" xfId="0" applyFont="1" applyAlignment="1">
      <alignment horizontal="left" vertical="center" wrapText="1"/>
    </xf>
    <xf numFmtId="0" fontId="0" fillId="0" borderId="0" xfId="0" applyAlignment="1">
      <alignment horizontal="right"/>
    </xf>
    <xf numFmtId="0" fontId="0" fillId="0" borderId="0" xfId="0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2" fontId="3" fillId="0" borderId="0" xfId="0" applyNumberFormat="1" applyFont="1" applyBorder="1" applyAlignment="1">
      <alignment horizontal="center" vertical="center"/>
    </xf>
    <xf numFmtId="4" fontId="3" fillId="0" borderId="14" xfId="0" applyNumberFormat="1" applyFont="1" applyBorder="1" applyAlignment="1">
      <alignment horizontal="center" vertical="center" wrapText="1"/>
    </xf>
    <xf numFmtId="4" fontId="3" fillId="0" borderId="15" xfId="0" applyNumberFormat="1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0" fillId="0" borderId="13" xfId="0" applyBorder="1"/>
    <xf numFmtId="0" fontId="0" fillId="0" borderId="14" xfId="0" applyBorder="1"/>
    <xf numFmtId="4" fontId="3" fillId="0" borderId="18" xfId="0" applyNumberFormat="1" applyFont="1" applyBorder="1" applyAlignment="1">
      <alignment horizontal="center" vertical="center" wrapText="1"/>
    </xf>
    <xf numFmtId="0" fontId="12" fillId="0" borderId="0" xfId="0" applyFont="1"/>
    <xf numFmtId="4" fontId="4" fillId="0" borderId="20" xfId="0" applyNumberFormat="1" applyFont="1" applyBorder="1" applyAlignment="1">
      <alignment horizontal="center" vertical="center" wrapText="1"/>
    </xf>
    <xf numFmtId="4" fontId="1" fillId="0" borderId="20" xfId="0" applyNumberFormat="1" applyFont="1" applyBorder="1" applyAlignment="1">
      <alignment horizontal="center" vertical="center" wrapText="1"/>
    </xf>
    <xf numFmtId="3" fontId="13" fillId="0" borderId="12" xfId="0" applyNumberFormat="1" applyFont="1" applyBorder="1" applyAlignment="1">
      <alignment horizontal="center" vertical="center" wrapText="1"/>
    </xf>
    <xf numFmtId="4" fontId="13" fillId="0" borderId="19" xfId="0" applyNumberFormat="1" applyFont="1" applyBorder="1" applyAlignment="1">
      <alignment horizontal="center" vertical="center" wrapText="1"/>
    </xf>
    <xf numFmtId="4" fontId="13" fillId="0" borderId="20" xfId="0" applyNumberFormat="1" applyFont="1" applyBorder="1" applyAlignment="1">
      <alignment horizontal="center" vertical="center" wrapText="1"/>
    </xf>
    <xf numFmtId="4" fontId="13" fillId="0" borderId="21" xfId="0" applyNumberFormat="1" applyFont="1" applyBorder="1" applyAlignment="1">
      <alignment horizontal="center" vertical="center" wrapText="1"/>
    </xf>
    <xf numFmtId="4" fontId="13" fillId="0" borderId="22" xfId="0" applyNumberFormat="1" applyFont="1" applyBorder="1" applyAlignment="1">
      <alignment horizontal="center" vertical="center" wrapText="1"/>
    </xf>
    <xf numFmtId="49" fontId="2" fillId="0" borderId="10" xfId="0" applyNumberFormat="1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0" fillId="0" borderId="17" xfId="0" applyBorder="1"/>
    <xf numFmtId="0" fontId="0" fillId="0" borderId="24" xfId="0" applyBorder="1"/>
    <xf numFmtId="0" fontId="0" fillId="0" borderId="25" xfId="0" applyBorder="1"/>
    <xf numFmtId="4" fontId="3" fillId="0" borderId="26" xfId="0" applyNumberFormat="1" applyFont="1" applyBorder="1" applyAlignment="1">
      <alignment horizontal="center" vertical="center" wrapText="1"/>
    </xf>
    <xf numFmtId="4" fontId="14" fillId="0" borderId="13" xfId="0" applyNumberFormat="1" applyFont="1" applyBorder="1" applyAlignment="1">
      <alignment horizontal="center" vertical="center" wrapText="1"/>
    </xf>
    <xf numFmtId="4" fontId="14" fillId="0" borderId="14" xfId="0" applyNumberFormat="1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3" fontId="13" fillId="0" borderId="33" xfId="0" applyNumberFormat="1" applyFont="1" applyBorder="1" applyAlignment="1">
      <alignment horizontal="center" vertical="center" wrapText="1"/>
    </xf>
    <xf numFmtId="0" fontId="0" fillId="0" borderId="32" xfId="0" applyBorder="1"/>
    <xf numFmtId="3" fontId="13" fillId="0" borderId="6" xfId="0" applyNumberFormat="1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0" fillId="0" borderId="3" xfId="0" applyBorder="1"/>
    <xf numFmtId="3" fontId="13" fillId="0" borderId="40" xfId="0" applyNumberFormat="1" applyFont="1" applyBorder="1" applyAlignment="1">
      <alignment horizontal="center" vertical="center" wrapText="1"/>
    </xf>
    <xf numFmtId="3" fontId="13" fillId="0" borderId="18" xfId="0" applyNumberFormat="1" applyFont="1" applyBorder="1" applyAlignment="1">
      <alignment horizontal="center" vertical="center" wrapText="1"/>
    </xf>
    <xf numFmtId="3" fontId="13" fillId="0" borderId="19" xfId="0" applyNumberFormat="1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4" fontId="13" fillId="0" borderId="26" xfId="0" applyNumberFormat="1" applyFont="1" applyBorder="1" applyAlignment="1">
      <alignment horizontal="center" vertical="center" wrapText="1"/>
    </xf>
    <xf numFmtId="0" fontId="0" fillId="0" borderId="10" xfId="0" applyBorder="1"/>
    <xf numFmtId="2" fontId="13" fillId="0" borderId="11" xfId="0" applyNumberFormat="1" applyFont="1" applyBorder="1" applyAlignment="1">
      <alignment horizontal="center" vertical="center" wrapText="1"/>
    </xf>
    <xf numFmtId="4" fontId="3" fillId="0" borderId="4" xfId="0" applyNumberFormat="1" applyFont="1" applyBorder="1" applyAlignment="1">
      <alignment horizontal="center" vertical="center" wrapText="1"/>
    </xf>
    <xf numFmtId="4" fontId="1" fillId="0" borderId="6" xfId="0" applyNumberFormat="1" applyFont="1" applyBorder="1" applyAlignment="1">
      <alignment horizontal="center" vertical="center" wrapText="1"/>
    </xf>
    <xf numFmtId="4" fontId="1" fillId="0" borderId="31" xfId="0" applyNumberFormat="1" applyFont="1" applyBorder="1" applyAlignment="1">
      <alignment horizontal="center" vertical="center" wrapText="1"/>
    </xf>
    <xf numFmtId="4" fontId="14" fillId="0" borderId="17" xfId="0" applyNumberFormat="1" applyFont="1" applyBorder="1" applyAlignment="1">
      <alignment horizontal="center" vertical="center" wrapText="1"/>
    </xf>
    <xf numFmtId="49" fontId="2" fillId="0" borderId="28" xfId="0" applyNumberFormat="1" applyFont="1" applyBorder="1" applyAlignment="1">
      <alignment horizontal="center" vertical="center" wrapText="1"/>
    </xf>
    <xf numFmtId="4" fontId="14" fillId="0" borderId="2" xfId="0" applyNumberFormat="1" applyFont="1" applyBorder="1" applyAlignment="1">
      <alignment horizontal="center" vertical="center" wrapText="1"/>
    </xf>
    <xf numFmtId="4" fontId="14" fillId="0" borderId="3" xfId="0" applyNumberFormat="1" applyFont="1" applyBorder="1" applyAlignment="1">
      <alignment horizontal="center" vertical="center" wrapText="1"/>
    </xf>
    <xf numFmtId="4" fontId="3" fillId="0" borderId="10" xfId="0" applyNumberFormat="1" applyFont="1" applyBorder="1" applyAlignment="1">
      <alignment horizontal="center" vertical="center" wrapText="1"/>
    </xf>
    <xf numFmtId="4" fontId="3" fillId="0" borderId="11" xfId="0" applyNumberFormat="1" applyFont="1" applyBorder="1" applyAlignment="1">
      <alignment horizontal="center" vertical="center" wrapText="1"/>
    </xf>
    <xf numFmtId="4" fontId="3" fillId="0" borderId="35" xfId="0" applyNumberFormat="1" applyFont="1" applyBorder="1" applyAlignment="1">
      <alignment horizontal="center" vertical="center" wrapText="1"/>
    </xf>
    <xf numFmtId="4" fontId="3" fillId="0" borderId="25" xfId="0" applyNumberFormat="1" applyFont="1" applyBorder="1" applyAlignment="1">
      <alignment horizontal="center" vertical="center" wrapText="1"/>
    </xf>
    <xf numFmtId="4" fontId="3" fillId="0" borderId="2" xfId="0" applyNumberFormat="1" applyFont="1" applyBorder="1" applyAlignment="1">
      <alignment horizontal="center" vertical="center" wrapText="1"/>
    </xf>
    <xf numFmtId="4" fontId="3" fillId="0" borderId="13" xfId="0" applyNumberFormat="1" applyFont="1" applyBorder="1" applyAlignment="1">
      <alignment horizontal="center" vertical="center" wrapText="1"/>
    </xf>
    <xf numFmtId="4" fontId="3" fillId="0" borderId="3" xfId="0" applyNumberFormat="1" applyFont="1" applyBorder="1" applyAlignment="1">
      <alignment horizontal="center" vertical="center" wrapText="1"/>
    </xf>
    <xf numFmtId="4" fontId="3" fillId="0" borderId="6" xfId="0" applyNumberFormat="1" applyFont="1" applyBorder="1" applyAlignment="1">
      <alignment horizontal="center" vertical="center" wrapText="1"/>
    </xf>
    <xf numFmtId="4" fontId="3" fillId="0" borderId="31" xfId="0" applyNumberFormat="1" applyFont="1" applyBorder="1" applyAlignment="1">
      <alignment horizontal="center" vertical="center" wrapText="1"/>
    </xf>
    <xf numFmtId="4" fontId="3" fillId="0" borderId="17" xfId="0" applyNumberFormat="1" applyFont="1" applyBorder="1" applyAlignment="1">
      <alignment horizontal="center" vertical="center" wrapText="1"/>
    </xf>
    <xf numFmtId="2" fontId="3" fillId="0" borderId="34" xfId="0" applyNumberFormat="1" applyFont="1" applyBorder="1" applyAlignment="1">
      <alignment horizontal="center" vertical="center"/>
    </xf>
    <xf numFmtId="2" fontId="3" fillId="0" borderId="11" xfId="0" applyNumberFormat="1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left" vertical="center" wrapText="1"/>
    </xf>
    <xf numFmtId="0" fontId="14" fillId="0" borderId="14" xfId="0" applyFont="1" applyBorder="1" applyAlignment="1">
      <alignment horizontal="left" vertical="center" wrapText="1"/>
    </xf>
    <xf numFmtId="2" fontId="13" fillId="0" borderId="37" xfId="0" applyNumberFormat="1" applyFont="1" applyBorder="1" applyAlignment="1">
      <alignment horizontal="center" vertical="center" wrapText="1"/>
    </xf>
    <xf numFmtId="0" fontId="14" fillId="0" borderId="17" xfId="0" applyFont="1" applyBorder="1" applyAlignment="1">
      <alignment horizontal="left" vertical="center" wrapText="1"/>
    </xf>
    <xf numFmtId="4" fontId="1" fillId="0" borderId="33" xfId="0" applyNumberFormat="1" applyFont="1" applyBorder="1" applyAlignment="1">
      <alignment horizontal="center" vertical="center" wrapText="1"/>
    </xf>
    <xf numFmtId="4" fontId="1" fillId="0" borderId="36" xfId="0" applyNumberFormat="1" applyFont="1" applyBorder="1" applyAlignment="1">
      <alignment horizontal="center" vertical="center" wrapText="1"/>
    </xf>
    <xf numFmtId="4" fontId="3" fillId="0" borderId="37" xfId="0" applyNumberFormat="1" applyFont="1" applyBorder="1" applyAlignment="1">
      <alignment horizontal="center" vertical="center" wrapText="1"/>
    </xf>
    <xf numFmtId="4" fontId="3" fillId="0" borderId="33" xfId="0" applyNumberFormat="1" applyFont="1" applyBorder="1" applyAlignment="1">
      <alignment horizontal="center" vertical="center" wrapText="1"/>
    </xf>
    <xf numFmtId="4" fontId="3" fillId="0" borderId="36" xfId="0" applyNumberFormat="1" applyFont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2" fontId="3" fillId="0" borderId="37" xfId="0" applyNumberFormat="1" applyFont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 wrapText="1"/>
    </xf>
    <xf numFmtId="2" fontId="3" fillId="0" borderId="41" xfId="0" applyNumberFormat="1" applyFont="1" applyBorder="1" applyAlignment="1">
      <alignment horizontal="center" vertical="center"/>
    </xf>
    <xf numFmtId="49" fontId="6" fillId="0" borderId="28" xfId="0" applyNumberFormat="1" applyFont="1" applyBorder="1" applyAlignment="1">
      <alignment horizontal="center" vertical="center" wrapText="1"/>
    </xf>
    <xf numFmtId="49" fontId="2" fillId="0" borderId="27" xfId="0" applyNumberFormat="1" applyFont="1" applyBorder="1" applyAlignment="1">
      <alignment horizontal="center" vertical="center" wrapText="1"/>
    </xf>
    <xf numFmtId="49" fontId="6" fillId="0" borderId="42" xfId="0" applyNumberFormat="1" applyFont="1" applyBorder="1" applyAlignment="1">
      <alignment horizontal="center" vertical="center" wrapText="1"/>
    </xf>
    <xf numFmtId="0" fontId="1" fillId="0" borderId="18" xfId="0" applyFont="1" applyFill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right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4" fontId="13" fillId="0" borderId="10" xfId="0" applyNumberFormat="1" applyFont="1" applyBorder="1" applyAlignment="1">
      <alignment horizontal="center" vertical="center" wrapText="1"/>
    </xf>
    <xf numFmtId="3" fontId="13" fillId="0" borderId="35" xfId="0" applyNumberFormat="1" applyFont="1" applyBorder="1" applyAlignment="1">
      <alignment horizontal="center" vertical="center" wrapText="1"/>
    </xf>
    <xf numFmtId="4" fontId="14" fillId="0" borderId="32" xfId="0" applyNumberFormat="1" applyFont="1" applyBorder="1" applyAlignment="1">
      <alignment horizontal="center" vertical="center" wrapText="1"/>
    </xf>
    <xf numFmtId="4" fontId="14" fillId="0" borderId="24" xfId="0" applyNumberFormat="1" applyFont="1" applyBorder="1" applyAlignment="1">
      <alignment horizontal="center" vertical="center" wrapText="1"/>
    </xf>
    <xf numFmtId="4" fontId="14" fillId="0" borderId="25" xfId="0" applyNumberFormat="1" applyFont="1" applyBorder="1" applyAlignment="1">
      <alignment horizontal="center" vertical="center" wrapText="1"/>
    </xf>
    <xf numFmtId="4" fontId="3" fillId="0" borderId="32" xfId="0" applyNumberFormat="1" applyFont="1" applyBorder="1" applyAlignment="1">
      <alignment horizontal="center" vertical="center" wrapText="1"/>
    </xf>
    <xf numFmtId="3" fontId="13" fillId="0" borderId="36" xfId="0" applyNumberFormat="1" applyFont="1" applyBorder="1" applyAlignment="1">
      <alignment horizontal="center" vertical="center" wrapText="1"/>
    </xf>
    <xf numFmtId="3" fontId="13" fillId="0" borderId="31" xfId="0" applyNumberFormat="1" applyFont="1" applyBorder="1" applyAlignment="1">
      <alignment horizontal="center" vertical="center" wrapText="1"/>
    </xf>
    <xf numFmtId="3" fontId="13" fillId="0" borderId="3" xfId="0" applyNumberFormat="1" applyFont="1" applyBorder="1" applyAlignment="1">
      <alignment horizontal="center" vertical="center" wrapText="1"/>
    </xf>
    <xf numFmtId="3" fontId="13" fillId="0" borderId="14" xfId="0" applyNumberFormat="1" applyFont="1" applyBorder="1" applyAlignment="1">
      <alignment horizontal="center" vertical="center" wrapText="1"/>
    </xf>
    <xf numFmtId="3" fontId="13" fillId="0" borderId="25" xfId="0" applyNumberFormat="1" applyFont="1" applyBorder="1" applyAlignment="1">
      <alignment horizontal="center" vertical="center" wrapText="1"/>
    </xf>
    <xf numFmtId="3" fontId="13" fillId="0" borderId="2" xfId="0" applyNumberFormat="1" applyFont="1" applyBorder="1" applyAlignment="1">
      <alignment horizontal="center" vertical="center" wrapText="1"/>
    </xf>
    <xf numFmtId="3" fontId="13" fillId="0" borderId="13" xfId="0" applyNumberFormat="1" applyFont="1" applyBorder="1" applyAlignment="1">
      <alignment horizontal="center" vertical="center" wrapText="1"/>
    </xf>
    <xf numFmtId="3" fontId="13" fillId="0" borderId="24" xfId="0" applyNumberFormat="1" applyFont="1" applyBorder="1" applyAlignment="1">
      <alignment horizontal="center" vertical="center" wrapText="1"/>
    </xf>
    <xf numFmtId="3" fontId="5" fillId="0" borderId="36" xfId="0" applyNumberFormat="1" applyFont="1" applyBorder="1" applyAlignment="1">
      <alignment horizontal="center" vertical="center" wrapText="1"/>
    </xf>
    <xf numFmtId="3" fontId="5" fillId="0" borderId="9" xfId="0" applyNumberFormat="1" applyFont="1" applyBorder="1" applyAlignment="1">
      <alignment horizontal="center" vertical="center" wrapText="1"/>
    </xf>
    <xf numFmtId="3" fontId="5" fillId="0" borderId="31" xfId="0" applyNumberFormat="1" applyFont="1" applyBorder="1" applyAlignment="1">
      <alignment horizontal="center" vertical="center" wrapText="1"/>
    </xf>
    <xf numFmtId="3" fontId="4" fillId="0" borderId="3" xfId="0" applyNumberFormat="1" applyFont="1" applyBorder="1" applyAlignment="1">
      <alignment horizontal="center" vertical="center" wrapText="1"/>
    </xf>
    <xf numFmtId="3" fontId="4" fillId="0" borderId="14" xfId="0" applyNumberFormat="1" applyFont="1" applyBorder="1" applyAlignment="1">
      <alignment horizontal="center" vertical="center" wrapText="1"/>
    </xf>
    <xf numFmtId="3" fontId="4" fillId="0" borderId="25" xfId="0" applyNumberFormat="1" applyFont="1" applyBorder="1" applyAlignment="1">
      <alignment horizontal="center" vertical="center" wrapText="1"/>
    </xf>
    <xf numFmtId="3" fontId="4" fillId="0" borderId="36" xfId="0" applyNumberFormat="1" applyFont="1" applyBorder="1" applyAlignment="1">
      <alignment horizontal="center" vertical="center" wrapText="1"/>
    </xf>
    <xf numFmtId="3" fontId="4" fillId="0" borderId="9" xfId="0" applyNumberFormat="1" applyFont="1" applyBorder="1" applyAlignment="1">
      <alignment horizontal="center" vertical="center" wrapText="1"/>
    </xf>
    <xf numFmtId="3" fontId="4" fillId="0" borderId="31" xfId="0" applyNumberFormat="1" applyFont="1" applyBorder="1" applyAlignment="1">
      <alignment horizontal="center" vertical="center" wrapText="1"/>
    </xf>
    <xf numFmtId="3" fontId="1" fillId="0" borderId="3" xfId="0" applyNumberFormat="1" applyFont="1" applyBorder="1" applyAlignment="1">
      <alignment horizontal="center" vertical="center" wrapText="1"/>
    </xf>
    <xf numFmtId="3" fontId="1" fillId="0" borderId="14" xfId="0" applyNumberFormat="1" applyFont="1" applyBorder="1" applyAlignment="1">
      <alignment horizontal="center" vertical="center" wrapText="1"/>
    </xf>
    <xf numFmtId="3" fontId="1" fillId="0" borderId="25" xfId="0" applyNumberFormat="1" applyFont="1" applyBorder="1" applyAlignment="1">
      <alignment horizontal="center" vertical="center" wrapText="1"/>
    </xf>
    <xf numFmtId="3" fontId="13" fillId="0" borderId="9" xfId="0" applyNumberFormat="1" applyFont="1" applyBorder="1" applyAlignment="1">
      <alignment horizontal="center" vertical="center" wrapText="1"/>
    </xf>
    <xf numFmtId="3" fontId="13" fillId="0" borderId="32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23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 wrapText="1"/>
    </xf>
    <xf numFmtId="0" fontId="2" fillId="0" borderId="44" xfId="0" applyFont="1" applyBorder="1" applyAlignment="1">
      <alignment horizontal="center" vertical="center" wrapText="1"/>
    </xf>
    <xf numFmtId="3" fontId="4" fillId="0" borderId="28" xfId="0" applyNumberFormat="1" applyFont="1" applyBorder="1" applyAlignment="1">
      <alignment horizontal="center" vertical="center" wrapText="1"/>
    </xf>
    <xf numFmtId="3" fontId="4" fillId="0" borderId="25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1"/>
  <sheetViews>
    <sheetView tabSelected="1" topLeftCell="A19" zoomScaleNormal="100" workbookViewId="0">
      <selection activeCell="O33" sqref="O33"/>
    </sheetView>
  </sheetViews>
  <sheetFormatPr defaultRowHeight="15" x14ac:dyDescent="0.25"/>
  <cols>
    <col min="1" max="1" width="4.5703125" customWidth="1"/>
    <col min="2" max="2" width="40" style="1" customWidth="1"/>
    <col min="3" max="3" width="9.28515625" customWidth="1"/>
    <col min="4" max="4" width="9" customWidth="1"/>
    <col min="5" max="5" width="9.85546875" customWidth="1"/>
    <col min="6" max="6" width="11.42578125" customWidth="1"/>
    <col min="7" max="7" width="10.5703125" customWidth="1"/>
    <col min="8" max="8" width="2.28515625" customWidth="1"/>
    <col min="9" max="9" width="10.140625" customWidth="1"/>
    <col min="10" max="10" width="10.42578125" hidden="1" customWidth="1"/>
  </cols>
  <sheetData>
    <row r="1" spans="1:10" ht="15" customHeight="1" x14ac:dyDescent="0.25">
      <c r="A1" s="124" t="s">
        <v>54</v>
      </c>
      <c r="B1" s="124"/>
      <c r="C1" s="124"/>
      <c r="D1" s="124"/>
      <c r="E1" s="124"/>
      <c r="F1" s="124"/>
      <c r="G1" s="124"/>
      <c r="H1" s="124"/>
      <c r="I1" s="124"/>
      <c r="J1" s="124"/>
    </row>
    <row r="2" spans="1:10" ht="24" customHeight="1" thickBot="1" x14ac:dyDescent="0.3">
      <c r="A2" s="125"/>
      <c r="B2" s="125"/>
      <c r="C2" s="125"/>
      <c r="D2" s="125"/>
      <c r="E2" s="125"/>
      <c r="F2" s="126"/>
      <c r="G2" s="126"/>
      <c r="H2" s="126"/>
      <c r="I2" s="125"/>
      <c r="J2" s="125"/>
    </row>
    <row r="3" spans="1:10" ht="24" customHeight="1" x14ac:dyDescent="0.25">
      <c r="A3" s="135" t="s">
        <v>0</v>
      </c>
      <c r="B3" s="131" t="s">
        <v>1</v>
      </c>
      <c r="C3" s="144" t="s">
        <v>4</v>
      </c>
      <c r="D3" s="145"/>
      <c r="E3" s="133" t="s">
        <v>5</v>
      </c>
      <c r="F3" s="141" t="s">
        <v>61</v>
      </c>
      <c r="G3" s="146" t="s">
        <v>60</v>
      </c>
      <c r="H3" s="148"/>
      <c r="I3" s="137" t="s">
        <v>45</v>
      </c>
      <c r="J3" s="139" t="s">
        <v>51</v>
      </c>
    </row>
    <row r="4" spans="1:10" ht="63.75" customHeight="1" thickBot="1" x14ac:dyDescent="0.3">
      <c r="A4" s="136"/>
      <c r="B4" s="132"/>
      <c r="C4" s="123" t="s">
        <v>58</v>
      </c>
      <c r="D4" s="34" t="s">
        <v>59</v>
      </c>
      <c r="E4" s="134"/>
      <c r="F4" s="142"/>
      <c r="G4" s="147"/>
      <c r="H4" s="149"/>
      <c r="I4" s="138"/>
      <c r="J4" s="140"/>
    </row>
    <row r="5" spans="1:10" ht="15" customHeight="1" x14ac:dyDescent="0.25">
      <c r="A5" s="2">
        <v>1</v>
      </c>
      <c r="B5" s="69" t="s">
        <v>2</v>
      </c>
      <c r="C5" s="35">
        <f>SUM(C6:C8)</f>
        <v>15347</v>
      </c>
      <c r="D5" s="20">
        <f>SUM(D6:D8)</f>
        <v>8576</v>
      </c>
      <c r="E5" s="37">
        <f>SUM(E6:E8)</f>
        <v>26405</v>
      </c>
      <c r="F5" s="42"/>
      <c r="G5" s="43"/>
      <c r="H5" s="96"/>
      <c r="I5" s="44"/>
      <c r="J5" s="28"/>
    </row>
    <row r="6" spans="1:10" ht="29.25" customHeight="1" x14ac:dyDescent="0.25">
      <c r="A6" s="3" t="s">
        <v>8</v>
      </c>
      <c r="B6" s="70" t="s">
        <v>52</v>
      </c>
      <c r="C6" s="39">
        <v>15347</v>
      </c>
      <c r="D6" s="13">
        <v>8576</v>
      </c>
      <c r="E6" s="38">
        <f>C6+D6</f>
        <v>23923</v>
      </c>
      <c r="F6" s="41"/>
      <c r="G6" s="15"/>
      <c r="H6" s="29"/>
      <c r="I6" s="45"/>
      <c r="J6" s="29"/>
    </row>
    <row r="7" spans="1:10" ht="18" customHeight="1" x14ac:dyDescent="0.25">
      <c r="A7" s="3" t="s">
        <v>9</v>
      </c>
      <c r="B7" s="71" t="s">
        <v>46</v>
      </c>
      <c r="C7" s="39"/>
      <c r="D7" s="13"/>
      <c r="E7" s="38">
        <v>1440</v>
      </c>
      <c r="F7" s="41"/>
      <c r="G7" s="15"/>
      <c r="H7" s="29"/>
      <c r="I7" s="45"/>
      <c r="J7" s="29"/>
    </row>
    <row r="8" spans="1:10" ht="19.5" customHeight="1" thickBot="1" x14ac:dyDescent="0.3">
      <c r="A8" s="25" t="s">
        <v>10</v>
      </c>
      <c r="B8" s="73" t="s">
        <v>47</v>
      </c>
      <c r="C8" s="40"/>
      <c r="D8" s="26"/>
      <c r="E8" s="33">
        <v>1042</v>
      </c>
      <c r="F8" s="48"/>
      <c r="G8" s="27"/>
      <c r="H8" s="36"/>
      <c r="I8" s="46"/>
      <c r="J8" s="36"/>
    </row>
    <row r="9" spans="1:10" ht="14.25" customHeight="1" x14ac:dyDescent="0.25">
      <c r="A9" s="87">
        <v>2</v>
      </c>
      <c r="B9" s="90" t="s">
        <v>3</v>
      </c>
      <c r="C9" s="35">
        <f>SUM(C10:C14)</f>
        <v>734704.22</v>
      </c>
      <c r="D9" s="20">
        <f>SUM(D10:D14)</f>
        <v>756576.9</v>
      </c>
      <c r="E9" s="37">
        <f>SUM(E10:E14)+E15</f>
        <v>322905.08</v>
      </c>
      <c r="F9" s="106">
        <f>C9+E9</f>
        <v>1057609.3</v>
      </c>
      <c r="G9" s="107">
        <f>D9+E9</f>
        <v>1079481.98</v>
      </c>
      <c r="H9" s="108"/>
      <c r="I9" s="108">
        <v>1321074.271290944</v>
      </c>
      <c r="J9" s="21">
        <f>F9-I9</f>
        <v>-263464.97129094391</v>
      </c>
    </row>
    <row r="10" spans="1:10" ht="15" customHeight="1" x14ac:dyDescent="0.25">
      <c r="A10" s="54" t="s">
        <v>14</v>
      </c>
      <c r="B10" s="91" t="s">
        <v>17</v>
      </c>
      <c r="C10" s="109">
        <v>376950</v>
      </c>
      <c r="D10" s="110">
        <v>280167</v>
      </c>
      <c r="E10" s="111">
        <v>69532</v>
      </c>
      <c r="F10" s="112"/>
      <c r="G10" s="113"/>
      <c r="H10" s="114"/>
      <c r="I10" s="114">
        <v>824243</v>
      </c>
      <c r="J10" s="18">
        <f t="shared" ref="J10:J35" si="0">F10-I10</f>
        <v>-824243</v>
      </c>
    </row>
    <row r="11" spans="1:10" ht="33.75" customHeight="1" x14ac:dyDescent="0.25">
      <c r="A11" s="54"/>
      <c r="B11" s="91" t="s">
        <v>55</v>
      </c>
      <c r="C11" s="109">
        <v>14811</v>
      </c>
      <c r="D11" s="110">
        <v>6533</v>
      </c>
      <c r="E11" s="111">
        <v>52171</v>
      </c>
      <c r="F11" s="112"/>
      <c r="G11" s="113"/>
      <c r="H11" s="114"/>
      <c r="I11" s="114">
        <v>0</v>
      </c>
      <c r="J11" s="18">
        <f t="shared" si="0"/>
        <v>0</v>
      </c>
    </row>
    <row r="12" spans="1:10" ht="15.75" customHeight="1" x14ac:dyDescent="0.25">
      <c r="A12" s="54" t="s">
        <v>11</v>
      </c>
      <c r="B12" s="91" t="s">
        <v>18</v>
      </c>
      <c r="C12" s="109">
        <v>281101</v>
      </c>
      <c r="D12" s="110">
        <v>385145</v>
      </c>
      <c r="E12" s="111">
        <v>77264</v>
      </c>
      <c r="F12" s="112"/>
      <c r="G12" s="113"/>
      <c r="H12" s="114"/>
      <c r="I12" s="114">
        <v>347855</v>
      </c>
      <c r="J12" s="18">
        <f t="shared" si="0"/>
        <v>-347855</v>
      </c>
    </row>
    <row r="13" spans="1:10" ht="30" customHeight="1" x14ac:dyDescent="0.25">
      <c r="A13" s="54" t="s">
        <v>12</v>
      </c>
      <c r="B13" s="91" t="s">
        <v>6</v>
      </c>
      <c r="C13" s="109">
        <f>C12*0.22</f>
        <v>61842.22</v>
      </c>
      <c r="D13" s="109">
        <f>D12*0.22</f>
        <v>84731.9</v>
      </c>
      <c r="E13" s="111">
        <f>E12*0.22</f>
        <v>16998.080000000002</v>
      </c>
      <c r="F13" s="112"/>
      <c r="G13" s="113"/>
      <c r="H13" s="114"/>
      <c r="I13" s="114">
        <v>76528.100000000006</v>
      </c>
      <c r="J13" s="18">
        <f t="shared" si="0"/>
        <v>-76528.100000000006</v>
      </c>
    </row>
    <row r="14" spans="1:10" ht="18" customHeight="1" x14ac:dyDescent="0.25">
      <c r="A14" s="54" t="s">
        <v>13</v>
      </c>
      <c r="B14" s="91" t="s">
        <v>19</v>
      </c>
      <c r="C14" s="109"/>
      <c r="D14" s="110"/>
      <c r="E14" s="111">
        <v>0</v>
      </c>
      <c r="F14" s="112"/>
      <c r="G14" s="113"/>
      <c r="H14" s="114"/>
      <c r="I14" s="114">
        <v>1727.0712909441231</v>
      </c>
      <c r="J14" s="18">
        <f t="shared" si="0"/>
        <v>-1727.0712909441231</v>
      </c>
    </row>
    <row r="15" spans="1:10" ht="15" customHeight="1" x14ac:dyDescent="0.25">
      <c r="A15" s="54" t="s">
        <v>15</v>
      </c>
      <c r="B15" s="91" t="s">
        <v>20</v>
      </c>
      <c r="C15" s="115"/>
      <c r="D15" s="116"/>
      <c r="E15" s="117">
        <f>E16</f>
        <v>106940</v>
      </c>
      <c r="F15" s="150"/>
      <c r="G15" s="151"/>
      <c r="H15" s="114"/>
      <c r="I15" s="114">
        <v>70721.100000000006</v>
      </c>
      <c r="J15" s="18">
        <f t="shared" si="0"/>
        <v>-70721.100000000006</v>
      </c>
    </row>
    <row r="16" spans="1:10" ht="28.5" customHeight="1" x14ac:dyDescent="0.25">
      <c r="A16" s="54" t="s">
        <v>16</v>
      </c>
      <c r="B16" s="92" t="s">
        <v>62</v>
      </c>
      <c r="C16" s="115"/>
      <c r="D16" s="116"/>
      <c r="E16" s="111">
        <v>106940</v>
      </c>
      <c r="F16" s="118"/>
      <c r="G16" s="119"/>
      <c r="H16" s="120"/>
      <c r="I16" s="120">
        <v>70721.100000000006</v>
      </c>
      <c r="J16" s="19">
        <f t="shared" si="0"/>
        <v>-70721.100000000006</v>
      </c>
    </row>
    <row r="17" spans="1:10" ht="13.5" customHeight="1" x14ac:dyDescent="0.25">
      <c r="A17" s="86" t="s">
        <v>39</v>
      </c>
      <c r="B17" s="93" t="s">
        <v>48</v>
      </c>
      <c r="C17" s="101">
        <v>14579</v>
      </c>
      <c r="D17" s="121">
        <v>8936</v>
      </c>
      <c r="E17" s="102">
        <v>2986</v>
      </c>
      <c r="F17" s="103"/>
      <c r="G17" s="104"/>
      <c r="H17" s="105"/>
      <c r="I17" s="105">
        <v>26501</v>
      </c>
      <c r="J17" s="22">
        <f t="shared" si="0"/>
        <v>-26501</v>
      </c>
    </row>
    <row r="18" spans="1:10" ht="15.75" customHeight="1" x14ac:dyDescent="0.25">
      <c r="A18" s="86" t="s">
        <v>40</v>
      </c>
      <c r="B18" s="93" t="s">
        <v>49</v>
      </c>
      <c r="C18" s="101">
        <v>76570</v>
      </c>
      <c r="D18" s="121">
        <v>46930</v>
      </c>
      <c r="E18" s="102">
        <v>10149</v>
      </c>
      <c r="F18" s="103"/>
      <c r="G18" s="104"/>
      <c r="H18" s="105"/>
      <c r="I18" s="105">
        <v>36873</v>
      </c>
      <c r="J18" s="22">
        <f t="shared" si="0"/>
        <v>-36873</v>
      </c>
    </row>
    <row r="19" spans="1:10" ht="15" customHeight="1" x14ac:dyDescent="0.25">
      <c r="A19" s="86" t="s">
        <v>36</v>
      </c>
      <c r="B19" s="93" t="s">
        <v>50</v>
      </c>
      <c r="C19" s="101">
        <v>36421</v>
      </c>
      <c r="D19" s="121">
        <v>22323</v>
      </c>
      <c r="E19" s="102">
        <v>29372</v>
      </c>
      <c r="F19" s="103"/>
      <c r="G19" s="104"/>
      <c r="H19" s="105"/>
      <c r="I19" s="105">
        <v>84779</v>
      </c>
      <c r="J19" s="22">
        <f t="shared" si="0"/>
        <v>-84779</v>
      </c>
    </row>
    <row r="20" spans="1:10" ht="15" hidden="1" customHeight="1" x14ac:dyDescent="0.25">
      <c r="A20" s="86" t="s">
        <v>36</v>
      </c>
      <c r="B20" s="93" t="s">
        <v>38</v>
      </c>
      <c r="C20" s="101"/>
      <c r="D20" s="121"/>
      <c r="E20" s="102"/>
      <c r="F20" s="103"/>
      <c r="G20" s="104">
        <f t="shared" ref="G10:G35" si="1">D20+E20</f>
        <v>0</v>
      </c>
      <c r="H20" s="122"/>
      <c r="I20" s="122"/>
      <c r="J20" s="23"/>
    </row>
    <row r="21" spans="1:10" ht="15" customHeight="1" x14ac:dyDescent="0.25">
      <c r="A21" s="86"/>
      <c r="B21" s="93" t="s">
        <v>57</v>
      </c>
      <c r="C21" s="101">
        <v>3512.1</v>
      </c>
      <c r="D21" s="121"/>
      <c r="E21" s="102"/>
      <c r="F21" s="103"/>
      <c r="G21" s="104"/>
      <c r="H21" s="122"/>
      <c r="I21" s="122"/>
      <c r="J21" s="23"/>
    </row>
    <row r="22" spans="1:10" ht="15" customHeight="1" x14ac:dyDescent="0.25">
      <c r="A22" s="86" t="s">
        <v>35</v>
      </c>
      <c r="B22" s="93" t="s">
        <v>21</v>
      </c>
      <c r="C22" s="101">
        <f>C9+C17+C18+C19-C21</f>
        <v>858762.12</v>
      </c>
      <c r="D22" s="101">
        <f>D9+D17+D18+D19-D21</f>
        <v>834765.9</v>
      </c>
      <c r="E22" s="102">
        <f>E9+E17+E18+E19</f>
        <v>365412.08</v>
      </c>
      <c r="F22" s="103"/>
      <c r="G22" s="104"/>
      <c r="H22" s="105"/>
      <c r="I22" s="105">
        <v>1469227.271290944</v>
      </c>
      <c r="J22" s="22">
        <f t="shared" si="0"/>
        <v>-1469227.271290944</v>
      </c>
    </row>
    <row r="23" spans="1:10" ht="18.75" customHeight="1" thickBot="1" x14ac:dyDescent="0.3">
      <c r="A23" s="88" t="s">
        <v>27</v>
      </c>
      <c r="B23" s="94" t="s">
        <v>22</v>
      </c>
      <c r="C23" s="72">
        <f>C22/C5</f>
        <v>55.956351078386653</v>
      </c>
      <c r="D23" s="72">
        <f>D22/D5</f>
        <v>97.337441697761193</v>
      </c>
      <c r="E23" s="49">
        <f>E22/E5</f>
        <v>13.838745692103769</v>
      </c>
      <c r="F23" s="95">
        <f>C23+E23</f>
        <v>69.795096770490417</v>
      </c>
      <c r="G23" s="53">
        <f t="shared" si="1"/>
        <v>111.17618738986496</v>
      </c>
      <c r="H23" s="97"/>
      <c r="I23" s="47">
        <v>67.527179338720103</v>
      </c>
      <c r="J23" s="24">
        <f t="shared" si="0"/>
        <v>2.2679174317703144</v>
      </c>
    </row>
    <row r="24" spans="1:10" ht="14.25" customHeight="1" x14ac:dyDescent="0.25">
      <c r="A24" s="127" t="s">
        <v>28</v>
      </c>
      <c r="B24" s="89" t="s">
        <v>56</v>
      </c>
      <c r="C24" s="74">
        <f>C23*0.03</f>
        <v>1.6786905323515995</v>
      </c>
      <c r="D24" s="74">
        <f>D23*0.03</f>
        <v>2.9201232509328356</v>
      </c>
      <c r="E24" s="51">
        <f>E23*0.03</f>
        <v>0.41516237076311308</v>
      </c>
      <c r="F24" s="55">
        <f t="shared" ref="F24:F25" si="2">C24+E24</f>
        <v>2.0938529031147124</v>
      </c>
      <c r="G24" s="31">
        <f t="shared" si="1"/>
        <v>3.3352856216959488</v>
      </c>
      <c r="H24" s="98"/>
      <c r="I24" s="28"/>
      <c r="J24" s="14"/>
    </row>
    <row r="25" spans="1:10" ht="14.25" customHeight="1" x14ac:dyDescent="0.25">
      <c r="A25" s="128"/>
      <c r="B25" s="80" t="s">
        <v>7</v>
      </c>
      <c r="C25" s="75">
        <f>(C23+C24)*0.2</f>
        <v>11.527008322147651</v>
      </c>
      <c r="D25" s="75">
        <f>(D23+D24)*0.2</f>
        <v>20.051512989738807</v>
      </c>
      <c r="E25" s="52">
        <f>(E23+E24)*0.2</f>
        <v>2.8507816125733765</v>
      </c>
      <c r="F25" s="56">
        <f t="shared" si="2"/>
        <v>14.377789934721028</v>
      </c>
      <c r="G25" s="32">
        <f t="shared" si="1"/>
        <v>22.902294602312182</v>
      </c>
      <c r="H25" s="99"/>
      <c r="I25" s="29"/>
      <c r="J25" s="15"/>
    </row>
    <row r="26" spans="1:10" ht="14.25" customHeight="1" thickBot="1" x14ac:dyDescent="0.3">
      <c r="A26" s="128"/>
      <c r="B26" s="81" t="s">
        <v>24</v>
      </c>
      <c r="C26" s="76">
        <f>C23+C24+C25</f>
        <v>69.162049932885907</v>
      </c>
      <c r="D26" s="76">
        <f>D23+D24+D25</f>
        <v>120.30907793843284</v>
      </c>
      <c r="E26" s="58">
        <f>E23+E24+E25</f>
        <v>17.104689675440259</v>
      </c>
      <c r="F26" s="57">
        <f t="shared" ref="F26:F34" si="3">C26+E26</f>
        <v>86.266739608326162</v>
      </c>
      <c r="G26" s="66">
        <f t="shared" si="1"/>
        <v>137.41376761387309</v>
      </c>
      <c r="H26" s="100"/>
      <c r="I26" s="30">
        <v>85.084245966787336</v>
      </c>
      <c r="J26" s="12">
        <f t="shared" si="0"/>
        <v>1.1824936415388265</v>
      </c>
    </row>
    <row r="27" spans="1:10" ht="53.25" customHeight="1" x14ac:dyDescent="0.25">
      <c r="A27" s="128"/>
      <c r="B27" s="81" t="s">
        <v>42</v>
      </c>
      <c r="C27" s="77">
        <f>C26*0.167</f>
        <v>11.550062338791948</v>
      </c>
      <c r="D27" s="77">
        <f>D26*0.167</f>
        <v>20.091616015718284</v>
      </c>
      <c r="E27" s="64">
        <f>E26*0.167</f>
        <v>2.8564831757985232</v>
      </c>
      <c r="F27" s="61">
        <f>C27+E27</f>
        <v>14.406545514590471</v>
      </c>
      <c r="G27" s="62"/>
      <c r="H27" s="59"/>
      <c r="I27" s="59">
        <v>14.209069076453485</v>
      </c>
      <c r="J27" s="16">
        <f t="shared" si="0"/>
        <v>0.19747643813698623</v>
      </c>
    </row>
    <row r="28" spans="1:10" ht="57" customHeight="1" x14ac:dyDescent="0.25">
      <c r="A28" s="128"/>
      <c r="B28" s="81" t="s">
        <v>43</v>
      </c>
      <c r="C28" s="78">
        <f>C26*0.177</f>
        <v>12.241682838120806</v>
      </c>
      <c r="D28" s="78">
        <f>D26*0.177</f>
        <v>21.294706795102609</v>
      </c>
      <c r="E28" s="65">
        <f>E26*0.177</f>
        <v>3.0275300725529255</v>
      </c>
      <c r="F28" s="63">
        <f>C28+E28</f>
        <v>15.269212910673732</v>
      </c>
      <c r="G28" s="11"/>
      <c r="H28" s="60"/>
      <c r="I28" s="60">
        <v>15.059911536121358</v>
      </c>
      <c r="J28" s="11">
        <f t="shared" si="0"/>
        <v>0.20930137455237308</v>
      </c>
    </row>
    <row r="29" spans="1:10" ht="55.5" customHeight="1" thickBot="1" x14ac:dyDescent="0.3">
      <c r="A29" s="143"/>
      <c r="B29" s="84" t="s">
        <v>44</v>
      </c>
      <c r="C29" s="76">
        <f>C26*0.187</f>
        <v>12.933303337449665</v>
      </c>
      <c r="D29" s="76">
        <f>D26*0.187</f>
        <v>22.497797574486942</v>
      </c>
      <c r="E29" s="58">
        <f>E26*0.187</f>
        <v>3.1985769693073283</v>
      </c>
      <c r="F29" s="57"/>
      <c r="G29" s="66">
        <f t="shared" si="1"/>
        <v>25.696374543794271</v>
      </c>
      <c r="H29" s="100"/>
      <c r="I29" s="30">
        <v>15.910753995789232</v>
      </c>
      <c r="J29" s="12">
        <f t="shared" si="0"/>
        <v>-15.910753995789232</v>
      </c>
    </row>
    <row r="30" spans="1:10" ht="24" customHeight="1" x14ac:dyDescent="0.25">
      <c r="A30" s="127" t="s">
        <v>37</v>
      </c>
      <c r="B30" s="79" t="s">
        <v>23</v>
      </c>
      <c r="C30" s="74">
        <f>C23*0.1</f>
        <v>5.5956351078386657</v>
      </c>
      <c r="D30" s="74">
        <f>D23*0.1</f>
        <v>9.73374416977612</v>
      </c>
      <c r="E30" s="51">
        <f>E23*0.1</f>
        <v>1.3838745692103771</v>
      </c>
      <c r="F30" s="55">
        <f t="shared" si="3"/>
        <v>6.9795096770490428</v>
      </c>
      <c r="G30" s="31"/>
      <c r="H30" s="98"/>
      <c r="I30" s="28"/>
      <c r="J30" s="14"/>
    </row>
    <row r="31" spans="1:10" ht="14.25" customHeight="1" x14ac:dyDescent="0.25">
      <c r="A31" s="128"/>
      <c r="B31" s="80" t="s">
        <v>7</v>
      </c>
      <c r="C31" s="75">
        <f>(C23+C30)*0.2</f>
        <v>12.310397237245065</v>
      </c>
      <c r="D31" s="75">
        <f>(D23+D30)*0.2</f>
        <v>21.414237173507463</v>
      </c>
      <c r="E31" s="52">
        <f>(E23+E30)*0.2</f>
        <v>3.0445240522628296</v>
      </c>
      <c r="F31" s="56">
        <f t="shared" si="3"/>
        <v>15.354921289507894</v>
      </c>
      <c r="G31" s="32"/>
      <c r="H31" s="99"/>
      <c r="I31" s="29"/>
      <c r="J31" s="15"/>
    </row>
    <row r="32" spans="1:10" ht="27" customHeight="1" thickBot="1" x14ac:dyDescent="0.3">
      <c r="A32" s="143"/>
      <c r="B32" s="84" t="s">
        <v>25</v>
      </c>
      <c r="C32" s="83">
        <f>C23+C30+C31</f>
        <v>73.862383423470391</v>
      </c>
      <c r="D32" s="83">
        <f>D23+D30+D31</f>
        <v>128.48542304104478</v>
      </c>
      <c r="E32" s="68">
        <f>E23+E30+E31</f>
        <v>18.267144313576978</v>
      </c>
      <c r="F32" s="57">
        <f t="shared" ref="F32" si="4">C32+E32</f>
        <v>92.129527737047368</v>
      </c>
      <c r="G32" s="66"/>
      <c r="H32" s="100"/>
      <c r="I32" s="30">
        <v>89.14</v>
      </c>
      <c r="J32" s="12">
        <f t="shared" si="0"/>
        <v>2.9895277370473679</v>
      </c>
    </row>
    <row r="33" spans="1:14" ht="14.25" customHeight="1" x14ac:dyDescent="0.25">
      <c r="A33" s="127" t="s">
        <v>41</v>
      </c>
      <c r="B33" s="79" t="s">
        <v>34</v>
      </c>
      <c r="C33" s="74">
        <f>C23*0.2</f>
        <v>11.191270215677331</v>
      </c>
      <c r="D33" s="74">
        <f>D23*0.2</f>
        <v>19.46748833955224</v>
      </c>
      <c r="E33" s="51">
        <f>E23*0.15</f>
        <v>2.0758118538155652</v>
      </c>
      <c r="F33" s="55">
        <f t="shared" si="3"/>
        <v>13.267082069492897</v>
      </c>
      <c r="G33" s="31">
        <f t="shared" si="1"/>
        <v>21.543300193367806</v>
      </c>
      <c r="H33" s="98"/>
      <c r="I33" s="28"/>
      <c r="J33" s="14"/>
    </row>
    <row r="34" spans="1:14" ht="15.75" customHeight="1" x14ac:dyDescent="0.25">
      <c r="A34" s="128"/>
      <c r="B34" s="80" t="s">
        <v>7</v>
      </c>
      <c r="C34" s="75">
        <f>(C23+C33)*0.2</f>
        <v>13.429524258812798</v>
      </c>
      <c r="D34" s="75">
        <f>(D23+D33)*0.2</f>
        <v>23.360986007462685</v>
      </c>
      <c r="E34" s="52">
        <f>(E23+E33)*0.2</f>
        <v>3.1829115091838673</v>
      </c>
      <c r="F34" s="56">
        <f t="shared" si="3"/>
        <v>16.612435767996665</v>
      </c>
      <c r="G34" s="32">
        <f t="shared" si="1"/>
        <v>26.543897516646553</v>
      </c>
      <c r="H34" s="99"/>
      <c r="I34" s="29"/>
      <c r="J34" s="15"/>
    </row>
    <row r="35" spans="1:14" ht="15.75" thickBot="1" x14ac:dyDescent="0.3">
      <c r="A35" s="129"/>
      <c r="B35" s="82" t="s">
        <v>26</v>
      </c>
      <c r="C35" s="85">
        <f>C23+C33+C34</f>
        <v>80.577145552876772</v>
      </c>
      <c r="D35" s="85">
        <f>D23+D33+D34</f>
        <v>140.16591604477611</v>
      </c>
      <c r="E35" s="67">
        <f>E23+E33+E34</f>
        <v>19.097469055103204</v>
      </c>
      <c r="F35" s="50">
        <f t="shared" ref="F35" si="5">C35+E35</f>
        <v>99.674614607979976</v>
      </c>
      <c r="G35" s="12">
        <f t="shared" si="1"/>
        <v>159.26338509987932</v>
      </c>
      <c r="H35" s="30"/>
      <c r="I35" s="30">
        <v>96.179820618264259</v>
      </c>
      <c r="J35" s="12">
        <f t="shared" si="0"/>
        <v>3.494793989715717</v>
      </c>
    </row>
    <row r="36" spans="1:14" x14ac:dyDescent="0.25">
      <c r="A36" s="8"/>
      <c r="B36" s="9"/>
      <c r="C36" s="10"/>
      <c r="D36" s="10"/>
      <c r="E36" s="10"/>
      <c r="I36" s="17"/>
    </row>
    <row r="37" spans="1:14" ht="15.75" hidden="1" x14ac:dyDescent="0.25">
      <c r="B37" s="4" t="s">
        <v>29</v>
      </c>
      <c r="C37" s="4" t="s">
        <v>30</v>
      </c>
      <c r="D37" s="4"/>
      <c r="E37" s="4" t="s">
        <v>31</v>
      </c>
    </row>
    <row r="38" spans="1:14" ht="9" customHeight="1" x14ac:dyDescent="0.25"/>
    <row r="39" spans="1:14" ht="15" hidden="1" customHeight="1" x14ac:dyDescent="0.25">
      <c r="A39" s="7" t="s">
        <v>33</v>
      </c>
      <c r="B39" s="130" t="s">
        <v>53</v>
      </c>
      <c r="C39" s="130"/>
      <c r="D39" s="130"/>
      <c r="E39" s="130"/>
      <c r="F39" s="6"/>
      <c r="G39" s="6"/>
      <c r="H39" s="6"/>
      <c r="I39" s="6"/>
      <c r="J39" s="6"/>
      <c r="K39" s="6"/>
      <c r="L39" s="6"/>
      <c r="M39" s="6"/>
      <c r="N39" s="6"/>
    </row>
    <row r="40" spans="1:14" ht="25.5" hidden="1" customHeight="1" x14ac:dyDescent="0.25">
      <c r="B40" s="130"/>
      <c r="C40" s="130"/>
      <c r="D40" s="130"/>
      <c r="E40" s="130"/>
    </row>
    <row r="41" spans="1:14" hidden="1" x14ac:dyDescent="0.25">
      <c r="B41" s="5" t="s">
        <v>32</v>
      </c>
    </row>
  </sheetData>
  <mergeCells count="15">
    <mergeCell ref="A1:J2"/>
    <mergeCell ref="A33:A35"/>
    <mergeCell ref="B39:E40"/>
    <mergeCell ref="B3:B4"/>
    <mergeCell ref="E3:E4"/>
    <mergeCell ref="A3:A4"/>
    <mergeCell ref="I3:I4"/>
    <mergeCell ref="J3:J4"/>
    <mergeCell ref="F3:F4"/>
    <mergeCell ref="A24:A29"/>
    <mergeCell ref="A30:A32"/>
    <mergeCell ref="C3:D3"/>
    <mergeCell ref="G3:G4"/>
    <mergeCell ref="H3:H4"/>
    <mergeCell ref="F15:G15"/>
  </mergeCells>
  <pageMargins left="3.937007874015748E-2" right="3.937007874015748E-2" top="0.15748031496062992" bottom="0.15748031496062992" header="0.31496062992125984" footer="0.31496062992125984"/>
  <pageSetup paperSize="9" scale="9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P31" sqref="P31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2019-11-18T14:13:17Z</cp:lastPrinted>
  <dcterms:created xsi:type="dcterms:W3CDTF">2017-06-08T11:09:28Z</dcterms:created>
  <dcterms:modified xsi:type="dcterms:W3CDTF">2020-01-27T08:14:31Z</dcterms:modified>
</cp:coreProperties>
</file>